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1122p0620.cicwp.nl\8142-Userdata_P$\Huynen\CW000100\Autoherstel\Outlook\"/>
    </mc:Choice>
  </mc:AlternateContent>
  <xr:revisionPtr revIDLastSave="0" documentId="13_ncr:1_{1A70EC03-F3E3-4281-BD67-787F2AD4A3A8}" xr6:coauthVersionLast="47" xr6:coauthVersionMax="47" xr10:uidLastSave="{00000000-0000-0000-0000-000000000000}"/>
  <bookViews>
    <workbookView xWindow="-120" yWindow="-120" windowWidth="29040" windowHeight="15840" tabRatio="960" activeTab="5"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betaalverzoek'!$A$1:$Y$2001</definedName>
    <definedName name="_xlnm.Print_Area" localSheetId="11">'9. Betalingsoverzicht'!$B$1:$H$40</definedName>
    <definedName name="_xlnm.Print_Area" localSheetId="0">'Toelichting aanvraag'!$A$1:$S$87</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betaalverzoek'!$A:$B,'8.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2" l="1"/>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4" i="32"/>
  <c r="N5"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c r="C2" i="34"/>
  <c r="C2" i="17"/>
  <c r="C1" i="17"/>
  <c r="C2" i="16"/>
  <c r="C2" i="21"/>
  <c r="C2" i="6"/>
  <c r="C10" i="36"/>
  <c r="G15" i="36"/>
  <c r="I13" i="36"/>
  <c r="G13" i="36"/>
  <c r="U32" i="27" a="1"/>
  <c r="U32" i="27"/>
  <c r="R32" i="27"/>
  <c r="R33" i="27"/>
  <c r="R34" i="27"/>
  <c r="R35" i="27"/>
  <c r="R36" i="27"/>
  <c r="R37" i="27"/>
  <c r="R38" i="27"/>
  <c r="R39" i="27"/>
  <c r="U39" i="27" a="1"/>
  <c r="U39" i="27"/>
  <c r="T39" i="27"/>
  <c r="S39" i="27"/>
  <c r="U38" i="27" a="1"/>
  <c r="U38" i="27"/>
  <c r="T38" i="27"/>
  <c r="S38" i="27"/>
  <c r="U37" i="27" a="1"/>
  <c r="U37" i="27"/>
  <c r="T37" i="27"/>
  <c r="S37" i="27"/>
  <c r="U36" i="27" a="1"/>
  <c r="U36" i="27"/>
  <c r="T36" i="27"/>
  <c r="S36" i="27"/>
  <c r="U35" i="27" a="1"/>
  <c r="U35" i="27"/>
  <c r="T35" i="27"/>
  <c r="S35" i="27"/>
  <c r="U34" i="27" a="1"/>
  <c r="U34" i="27"/>
  <c r="T34" i="27"/>
  <c r="S34" i="27"/>
  <c r="U33" i="27" a="1"/>
  <c r="U33" i="27"/>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c r="AA33" i="27"/>
  <c r="AA34" i="27"/>
  <c r="X34" i="27"/>
  <c r="Z34" i="27"/>
  <c r="W34" i="27"/>
  <c r="Y34" i="27"/>
  <c r="AA35" i="27"/>
  <c r="X35" i="27"/>
  <c r="Z35" i="27"/>
  <c r="W35" i="27"/>
  <c r="Y35" i="27"/>
  <c r="AA36" i="27"/>
  <c r="X36" i="27"/>
  <c r="Z36" i="27"/>
  <c r="W36" i="27"/>
  <c r="Y36" i="27"/>
  <c r="AA37" i="27"/>
  <c r="X37" i="27"/>
  <c r="Z37" i="27"/>
  <c r="W37" i="27"/>
  <c r="Y37" i="27"/>
  <c r="AA38" i="27"/>
  <c r="X38" i="27"/>
  <c r="Z38" i="27"/>
  <c r="W38" i="27"/>
  <c r="Y38" i="27"/>
  <c r="AA39" i="27"/>
  <c r="X39" i="27"/>
  <c r="Z39" i="27"/>
  <c r="W39" i="27"/>
  <c r="Y39" i="27"/>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a="1"/>
  <c r="U2000" i="31"/>
  <c r="W2000" i="31" a="1"/>
  <c r="W2000" i="31"/>
  <c r="V2000" i="31" a="1"/>
  <c r="V2000" i="31"/>
  <c r="U1999" i="31" a="1"/>
  <c r="U1999" i="31"/>
  <c r="W1999" i="31" a="1"/>
  <c r="W1999" i="31"/>
  <c r="V1999" i="31" a="1"/>
  <c r="V1999" i="31"/>
  <c r="U1998" i="31" a="1"/>
  <c r="U1998" i="31"/>
  <c r="W1998" i="31" a="1"/>
  <c r="W1998" i="31"/>
  <c r="V1998" i="31" a="1"/>
  <c r="V1998" i="31"/>
  <c r="U1997" i="31" a="1"/>
  <c r="U1997" i="31"/>
  <c r="W1997" i="31" a="1"/>
  <c r="W1997" i="31"/>
  <c r="V1997" i="31" a="1"/>
  <c r="V1997" i="31"/>
  <c r="U1996" i="31" a="1"/>
  <c r="U1996" i="31"/>
  <c r="W1996" i="31" a="1"/>
  <c r="W1996" i="31"/>
  <c r="V1996" i="31" a="1"/>
  <c r="V1996" i="31"/>
  <c r="U1995" i="31" a="1"/>
  <c r="U1995" i="31"/>
  <c r="W1995" i="31" a="1"/>
  <c r="W1995" i="31"/>
  <c r="V1995" i="31" a="1"/>
  <c r="V1995" i="31"/>
  <c r="U1994" i="31" a="1"/>
  <c r="U1994" i="31"/>
  <c r="W1994" i="31" a="1"/>
  <c r="W1994" i="31"/>
  <c r="V1994" i="31" a="1"/>
  <c r="V1994" i="31"/>
  <c r="U1993" i="31" a="1"/>
  <c r="U1993" i="31"/>
  <c r="W1993" i="31" a="1"/>
  <c r="W1993" i="31"/>
  <c r="V1993" i="31" a="1"/>
  <c r="V1993" i="31"/>
  <c r="U1992" i="31" a="1"/>
  <c r="U1992" i="31"/>
  <c r="W1992" i="31" a="1"/>
  <c r="W1992" i="31"/>
  <c r="V1992" i="31" a="1"/>
  <c r="V1992" i="31"/>
  <c r="U1991" i="31" a="1"/>
  <c r="U1991" i="31"/>
  <c r="W1991" i="31" a="1"/>
  <c r="W1991" i="31"/>
  <c r="V1991" i="31" a="1"/>
  <c r="V1991" i="31"/>
  <c r="U1990" i="31" a="1"/>
  <c r="U1990" i="31"/>
  <c r="W1990" i="31" a="1"/>
  <c r="W1990" i="31"/>
  <c r="V1990" i="31" a="1"/>
  <c r="V1990" i="31"/>
  <c r="U1989" i="31" a="1"/>
  <c r="U1989" i="31"/>
  <c r="W1989" i="31" a="1"/>
  <c r="W1989" i="31"/>
  <c r="V1989" i="31" a="1"/>
  <c r="V1989" i="31"/>
  <c r="U1988" i="31" a="1"/>
  <c r="U1988" i="31"/>
  <c r="W1988" i="31" a="1"/>
  <c r="W1988" i="31"/>
  <c r="V1988" i="31" a="1"/>
  <c r="V1988" i="31"/>
  <c r="U1987" i="31" a="1"/>
  <c r="U1987" i="31"/>
  <c r="W1987" i="31" a="1"/>
  <c r="W1987" i="31"/>
  <c r="V1987" i="31" a="1"/>
  <c r="V1987" i="31"/>
  <c r="U1986" i="31" a="1"/>
  <c r="U1986" i="31"/>
  <c r="W1986" i="31" a="1"/>
  <c r="W1986" i="31"/>
  <c r="V1986" i="31" a="1"/>
  <c r="V1986" i="31"/>
  <c r="U1985" i="31" a="1"/>
  <c r="U1985" i="31"/>
  <c r="W1985" i="31" a="1"/>
  <c r="W1985" i="31"/>
  <c r="V1985" i="31" a="1"/>
  <c r="V1985" i="31"/>
  <c r="U1984" i="31" a="1"/>
  <c r="U1984" i="31"/>
  <c r="W1984" i="31" a="1"/>
  <c r="W1984" i="31"/>
  <c r="V1984" i="31" a="1"/>
  <c r="V1984" i="31"/>
  <c r="U1983" i="31" a="1"/>
  <c r="U1983" i="31"/>
  <c r="W1983" i="31" a="1"/>
  <c r="W1983" i="31"/>
  <c r="V1983" i="31" a="1"/>
  <c r="V1983" i="31"/>
  <c r="U1982" i="31" a="1"/>
  <c r="U1982" i="31"/>
  <c r="W1982" i="31" a="1"/>
  <c r="W1982" i="31"/>
  <c r="V1982" i="31" a="1"/>
  <c r="V1982" i="31"/>
  <c r="U1981" i="31" a="1"/>
  <c r="U1981" i="31"/>
  <c r="W1981" i="31" a="1"/>
  <c r="W1981" i="31"/>
  <c r="V1981" i="31" a="1"/>
  <c r="V1981" i="31"/>
  <c r="U1980" i="31" a="1"/>
  <c r="U1980" i="31"/>
  <c r="W1980" i="31" a="1"/>
  <c r="W1980" i="31"/>
  <c r="V1980" i="31" a="1"/>
  <c r="V1980" i="31"/>
  <c r="U1979" i="31" a="1"/>
  <c r="U1979" i="31"/>
  <c r="W1979" i="31" a="1"/>
  <c r="W1979" i="31"/>
  <c r="V1979" i="31" a="1"/>
  <c r="V1979" i="31"/>
  <c r="U1978" i="31" a="1"/>
  <c r="U1978" i="31"/>
  <c r="W1978" i="31" a="1"/>
  <c r="W1978" i="31"/>
  <c r="V1978" i="31" a="1"/>
  <c r="V1978" i="31"/>
  <c r="U1977" i="31" a="1"/>
  <c r="U1977" i="31"/>
  <c r="W1977" i="31" a="1"/>
  <c r="W1977" i="31"/>
  <c r="V1977" i="31" a="1"/>
  <c r="V1977" i="31"/>
  <c r="U1976" i="31" a="1"/>
  <c r="U1976" i="31"/>
  <c r="W1976" i="31" a="1"/>
  <c r="W1976" i="31"/>
  <c r="V1976" i="31" a="1"/>
  <c r="V1976" i="31"/>
  <c r="U1975" i="31" a="1"/>
  <c r="U1975" i="31"/>
  <c r="W1975" i="31" a="1"/>
  <c r="W1975" i="31"/>
  <c r="V1975" i="31" a="1"/>
  <c r="V1975" i="31"/>
  <c r="U1974" i="31" a="1"/>
  <c r="U1974" i="31"/>
  <c r="W1974" i="31" a="1"/>
  <c r="W1974" i="31"/>
  <c r="V1974" i="31" a="1"/>
  <c r="V1974" i="31"/>
  <c r="U1973" i="31" a="1"/>
  <c r="U1973" i="31"/>
  <c r="W1973" i="31" a="1"/>
  <c r="W1973" i="31"/>
  <c r="V1973" i="31" a="1"/>
  <c r="V1973" i="31"/>
  <c r="U1972" i="31" a="1"/>
  <c r="U1972" i="31"/>
  <c r="W1972" i="31" a="1"/>
  <c r="W1972" i="31"/>
  <c r="V1972" i="31" a="1"/>
  <c r="V1972" i="31"/>
  <c r="U1971" i="31" a="1"/>
  <c r="U1971" i="31"/>
  <c r="W1971" i="31" a="1"/>
  <c r="W1971" i="31"/>
  <c r="V1971" i="31" a="1"/>
  <c r="V1971" i="31"/>
  <c r="U1970" i="31" a="1"/>
  <c r="U1970" i="31"/>
  <c r="W1970" i="31" a="1"/>
  <c r="W1970" i="31"/>
  <c r="V1970" i="31" a="1"/>
  <c r="V1970" i="31"/>
  <c r="U1969" i="31" a="1"/>
  <c r="U1969" i="31"/>
  <c r="W1969" i="31" a="1"/>
  <c r="W1969" i="31"/>
  <c r="V1969" i="31" a="1"/>
  <c r="V1969" i="31"/>
  <c r="U1968" i="31" a="1"/>
  <c r="U1968" i="31"/>
  <c r="W1968" i="31" a="1"/>
  <c r="W1968" i="31"/>
  <c r="V1968" i="31" a="1"/>
  <c r="V1968" i="31"/>
  <c r="U1967" i="31" a="1"/>
  <c r="U1967" i="31"/>
  <c r="W1967" i="31" a="1"/>
  <c r="W1967" i="31"/>
  <c r="V1967" i="31" a="1"/>
  <c r="V1967" i="31"/>
  <c r="U1966" i="31" a="1"/>
  <c r="U1966" i="31"/>
  <c r="W1966" i="31" a="1"/>
  <c r="W1966" i="31"/>
  <c r="V1966" i="31" a="1"/>
  <c r="V1966" i="31"/>
  <c r="U1965" i="31" a="1"/>
  <c r="U1965" i="31"/>
  <c r="W1965" i="31" a="1"/>
  <c r="W1965" i="31"/>
  <c r="V1965" i="31" a="1"/>
  <c r="V1965" i="31"/>
  <c r="U1964" i="31" a="1"/>
  <c r="U1964" i="31"/>
  <c r="W1964" i="31" a="1"/>
  <c r="W1964" i="31"/>
  <c r="V1964" i="31" a="1"/>
  <c r="V1964" i="31"/>
  <c r="U1963" i="31" a="1"/>
  <c r="U1963" i="31"/>
  <c r="W1963" i="31" a="1"/>
  <c r="W1963" i="31"/>
  <c r="V1963" i="31" a="1"/>
  <c r="V1963" i="31"/>
  <c r="U1962" i="31" a="1"/>
  <c r="U1962" i="31"/>
  <c r="W1962" i="31" a="1"/>
  <c r="W1962" i="31"/>
  <c r="V1962" i="31" a="1"/>
  <c r="V1962" i="31"/>
  <c r="U1961" i="31" a="1"/>
  <c r="U1961" i="31"/>
  <c r="W1961" i="31" a="1"/>
  <c r="W1961" i="31"/>
  <c r="V1961" i="31" a="1"/>
  <c r="V1961" i="31"/>
  <c r="U1960" i="31" a="1"/>
  <c r="U1960" i="31"/>
  <c r="W1960" i="31" a="1"/>
  <c r="W1960" i="31"/>
  <c r="V1960" i="31" a="1"/>
  <c r="V1960" i="31"/>
  <c r="U1959" i="31" a="1"/>
  <c r="U1959" i="31"/>
  <c r="W1959" i="31" a="1"/>
  <c r="W1959" i="31"/>
  <c r="V1959" i="31" a="1"/>
  <c r="V1959" i="31"/>
  <c r="U1958" i="31" a="1"/>
  <c r="U1958" i="31"/>
  <c r="W1958" i="31" a="1"/>
  <c r="W1958" i="31"/>
  <c r="V1958" i="31" a="1"/>
  <c r="V1958" i="31"/>
  <c r="U1957" i="31" a="1"/>
  <c r="U1957" i="31"/>
  <c r="W1957" i="31" a="1"/>
  <c r="W1957" i="31"/>
  <c r="V1957" i="31" a="1"/>
  <c r="V1957" i="31"/>
  <c r="U1956" i="31" a="1"/>
  <c r="U1956" i="31"/>
  <c r="W1956" i="31" a="1"/>
  <c r="W1956" i="31"/>
  <c r="V1956" i="31" a="1"/>
  <c r="V1956" i="31"/>
  <c r="U1955" i="31" a="1"/>
  <c r="U1955" i="31"/>
  <c r="W1955" i="31" a="1"/>
  <c r="W1955" i="31"/>
  <c r="V1955" i="31" a="1"/>
  <c r="V1955" i="31"/>
  <c r="U1954" i="31" a="1"/>
  <c r="U1954" i="31"/>
  <c r="W1954" i="31" a="1"/>
  <c r="W1954" i="31"/>
  <c r="V1954" i="31" a="1"/>
  <c r="V1954" i="31"/>
  <c r="U1953" i="31" a="1"/>
  <c r="U1953" i="31"/>
  <c r="W1953" i="31" a="1"/>
  <c r="W1953" i="31"/>
  <c r="V1953" i="31" a="1"/>
  <c r="V1953" i="31"/>
  <c r="U1952" i="31" a="1"/>
  <c r="U1952" i="31"/>
  <c r="W1952" i="31" a="1"/>
  <c r="W1952" i="31"/>
  <c r="V1952" i="31" a="1"/>
  <c r="V1952" i="31"/>
  <c r="U1951" i="31" a="1"/>
  <c r="U1951" i="31"/>
  <c r="W1951" i="31" a="1"/>
  <c r="W1951" i="31"/>
  <c r="V1951" i="31" a="1"/>
  <c r="V1951" i="31"/>
  <c r="U1950" i="31" a="1"/>
  <c r="U1950" i="31"/>
  <c r="W1950" i="31" a="1"/>
  <c r="W1950" i="31"/>
  <c r="V1950" i="31" a="1"/>
  <c r="V1950" i="31"/>
  <c r="U1949" i="31" a="1"/>
  <c r="U1949" i="31"/>
  <c r="W1949" i="31" a="1"/>
  <c r="W1949" i="31"/>
  <c r="V1949" i="31" a="1"/>
  <c r="V1949" i="31"/>
  <c r="U1948" i="31" a="1"/>
  <c r="U1948" i="31"/>
  <c r="W1948" i="31" a="1"/>
  <c r="W1948" i="31"/>
  <c r="V1948" i="31" a="1"/>
  <c r="V1948" i="31"/>
  <c r="U1947" i="31" a="1"/>
  <c r="U1947" i="31"/>
  <c r="W1947" i="31" a="1"/>
  <c r="W1947" i="31"/>
  <c r="V1947" i="31" a="1"/>
  <c r="V1947" i="31"/>
  <c r="U1946" i="31" a="1"/>
  <c r="U1946" i="31"/>
  <c r="W1946" i="31" a="1"/>
  <c r="W1946" i="31"/>
  <c r="V1946" i="31" a="1"/>
  <c r="V1946" i="31"/>
  <c r="U1945" i="31" a="1"/>
  <c r="U1945" i="31"/>
  <c r="W1945" i="31" a="1"/>
  <c r="W1945" i="31"/>
  <c r="V1945" i="31" a="1"/>
  <c r="V1945" i="31"/>
  <c r="U1944" i="31" a="1"/>
  <c r="U1944" i="31"/>
  <c r="W1944" i="31" a="1"/>
  <c r="W1944" i="31"/>
  <c r="V1944" i="31" a="1"/>
  <c r="V1944" i="31"/>
  <c r="U1943" i="31" a="1"/>
  <c r="U1943" i="31"/>
  <c r="W1943" i="31" a="1"/>
  <c r="W1943" i="31"/>
  <c r="V1943" i="31" a="1"/>
  <c r="V1943" i="31"/>
  <c r="U1942" i="31" a="1"/>
  <c r="U1942" i="31"/>
  <c r="W1942" i="31" a="1"/>
  <c r="W1942" i="31"/>
  <c r="V1942" i="31" a="1"/>
  <c r="V1942" i="31"/>
  <c r="U1941" i="31" a="1"/>
  <c r="U1941" i="31"/>
  <c r="W1941" i="31" a="1"/>
  <c r="W1941" i="31"/>
  <c r="V1941" i="31" a="1"/>
  <c r="V1941" i="31"/>
  <c r="U1940" i="31" a="1"/>
  <c r="U1940" i="31"/>
  <c r="W1940" i="31" a="1"/>
  <c r="W1940" i="31"/>
  <c r="V1940" i="31" a="1"/>
  <c r="V1940" i="31"/>
  <c r="U1939" i="31" a="1"/>
  <c r="U1939" i="31"/>
  <c r="W1939" i="31" a="1"/>
  <c r="W1939" i="31"/>
  <c r="V1939" i="31" a="1"/>
  <c r="V1939" i="31"/>
  <c r="U1938" i="31" a="1"/>
  <c r="U1938" i="31"/>
  <c r="W1938" i="31" a="1"/>
  <c r="W1938" i="31"/>
  <c r="V1938" i="31" a="1"/>
  <c r="V1938" i="31"/>
  <c r="U1937" i="31" a="1"/>
  <c r="U1937" i="31"/>
  <c r="W1937" i="31" a="1"/>
  <c r="W1937" i="31"/>
  <c r="V1937" i="31" a="1"/>
  <c r="V1937" i="31"/>
  <c r="U1936" i="31" a="1"/>
  <c r="U1936" i="31"/>
  <c r="W1936" i="31" a="1"/>
  <c r="W1936" i="31"/>
  <c r="V1936" i="31" a="1"/>
  <c r="V1936" i="31"/>
  <c r="U1935" i="31" a="1"/>
  <c r="U1935" i="31"/>
  <c r="W1935" i="31" a="1"/>
  <c r="W1935" i="31"/>
  <c r="V1935" i="31" a="1"/>
  <c r="V1935" i="31"/>
  <c r="U1934" i="31" a="1"/>
  <c r="U1934" i="31"/>
  <c r="W1934" i="31" a="1"/>
  <c r="W1934" i="31"/>
  <c r="V1934" i="31" a="1"/>
  <c r="V1934" i="31"/>
  <c r="U1933" i="31" a="1"/>
  <c r="U1933" i="31"/>
  <c r="W1933" i="31" a="1"/>
  <c r="W1933" i="31"/>
  <c r="V1933" i="31" a="1"/>
  <c r="V1933" i="31"/>
  <c r="U1932" i="31" a="1"/>
  <c r="U1932" i="31"/>
  <c r="W1932" i="31" a="1"/>
  <c r="W1932" i="31"/>
  <c r="V1932" i="31" a="1"/>
  <c r="V1932" i="31"/>
  <c r="U1931" i="31" a="1"/>
  <c r="U1931" i="31"/>
  <c r="W1931" i="31" a="1"/>
  <c r="W1931" i="31"/>
  <c r="V1931" i="31" a="1"/>
  <c r="V1931" i="31"/>
  <c r="U1930" i="31" a="1"/>
  <c r="U1930" i="31"/>
  <c r="W1930" i="31" a="1"/>
  <c r="W1930" i="31"/>
  <c r="V1930" i="31" a="1"/>
  <c r="V1930" i="31"/>
  <c r="U1929" i="31" a="1"/>
  <c r="U1929" i="31"/>
  <c r="W1929" i="31" a="1"/>
  <c r="W1929" i="31"/>
  <c r="V1929" i="31" a="1"/>
  <c r="V1929" i="31"/>
  <c r="U1928" i="31" a="1"/>
  <c r="U1928" i="31"/>
  <c r="W1928" i="31" a="1"/>
  <c r="W1928" i="31"/>
  <c r="V1928" i="31" a="1"/>
  <c r="V1928" i="31"/>
  <c r="U1927" i="31" a="1"/>
  <c r="U1927" i="31"/>
  <c r="W1927" i="31" a="1"/>
  <c r="W1927" i="31"/>
  <c r="V1927" i="31" a="1"/>
  <c r="V1927" i="31"/>
  <c r="U1926" i="31" a="1"/>
  <c r="U1926" i="31"/>
  <c r="W1926" i="31" a="1"/>
  <c r="W1926" i="31"/>
  <c r="V1926" i="31" a="1"/>
  <c r="V1926" i="31"/>
  <c r="U1925" i="31" a="1"/>
  <c r="U1925" i="31"/>
  <c r="W1925" i="31" a="1"/>
  <c r="W1925" i="31"/>
  <c r="V1925" i="31" a="1"/>
  <c r="V1925" i="31"/>
  <c r="U1924" i="31" a="1"/>
  <c r="U1924" i="31"/>
  <c r="W1924" i="31" a="1"/>
  <c r="W1924" i="31"/>
  <c r="V1924" i="31" a="1"/>
  <c r="V1924" i="31"/>
  <c r="U1923" i="31" a="1"/>
  <c r="U1923" i="31"/>
  <c r="W1923" i="31" a="1"/>
  <c r="W1923" i="31"/>
  <c r="V1923" i="31" a="1"/>
  <c r="V1923" i="31"/>
  <c r="U1922" i="31" a="1"/>
  <c r="U1922" i="31"/>
  <c r="W1922" i="31" a="1"/>
  <c r="W1922" i="31"/>
  <c r="V1922" i="31" a="1"/>
  <c r="V1922" i="31"/>
  <c r="U1921" i="31" a="1"/>
  <c r="U1921" i="31"/>
  <c r="W1921" i="31" a="1"/>
  <c r="W1921" i="31"/>
  <c r="V1921" i="31" a="1"/>
  <c r="V1921" i="31"/>
  <c r="U1920" i="31" a="1"/>
  <c r="U1920" i="31"/>
  <c r="W1920" i="31" a="1"/>
  <c r="W1920" i="31"/>
  <c r="V1920" i="31" a="1"/>
  <c r="V1920" i="31"/>
  <c r="U1919" i="31" a="1"/>
  <c r="U1919" i="31"/>
  <c r="W1919" i="31" a="1"/>
  <c r="W1919" i="31"/>
  <c r="V1919" i="31" a="1"/>
  <c r="V1919" i="31"/>
  <c r="U1918" i="31" a="1"/>
  <c r="U1918" i="31"/>
  <c r="W1918" i="31" a="1"/>
  <c r="W1918" i="31"/>
  <c r="V1918" i="31" a="1"/>
  <c r="V1918" i="31"/>
  <c r="U1917" i="31" a="1"/>
  <c r="U1917" i="31"/>
  <c r="W1917" i="31" a="1"/>
  <c r="W1917" i="31"/>
  <c r="V1917" i="31" a="1"/>
  <c r="V1917" i="31"/>
  <c r="U1916" i="31" a="1"/>
  <c r="U1916" i="31"/>
  <c r="W1916" i="31" a="1"/>
  <c r="W1916" i="31"/>
  <c r="V1916" i="31" a="1"/>
  <c r="V1916" i="31"/>
  <c r="U1915" i="31" a="1"/>
  <c r="U1915" i="31"/>
  <c r="W1915" i="31" a="1"/>
  <c r="W1915" i="31"/>
  <c r="V1915" i="31" a="1"/>
  <c r="V1915" i="31"/>
  <c r="U1914" i="31" a="1"/>
  <c r="U1914" i="31"/>
  <c r="W1914" i="31" a="1"/>
  <c r="W1914" i="31"/>
  <c r="V1914" i="31" a="1"/>
  <c r="V1914" i="31"/>
  <c r="U1913" i="31" a="1"/>
  <c r="U1913" i="31"/>
  <c r="W1913" i="31" a="1"/>
  <c r="W1913" i="31"/>
  <c r="V1913" i="31" a="1"/>
  <c r="V1913" i="31"/>
  <c r="U1912" i="31" a="1"/>
  <c r="U1912" i="31"/>
  <c r="W1912" i="31" a="1"/>
  <c r="W1912" i="31"/>
  <c r="V1912" i="31" a="1"/>
  <c r="V1912" i="31"/>
  <c r="U1911" i="31" a="1"/>
  <c r="U1911" i="31"/>
  <c r="W1911" i="31" a="1"/>
  <c r="W1911" i="31"/>
  <c r="V1911" i="31" a="1"/>
  <c r="V1911" i="31"/>
  <c r="U1910" i="31" a="1"/>
  <c r="U1910" i="31"/>
  <c r="W1910" i="31" a="1"/>
  <c r="W1910" i="31"/>
  <c r="V1910" i="31" a="1"/>
  <c r="V1910" i="31"/>
  <c r="U1909" i="31" a="1"/>
  <c r="U1909" i="31"/>
  <c r="W1909" i="31" a="1"/>
  <c r="W1909" i="31"/>
  <c r="V1909" i="31" a="1"/>
  <c r="V1909" i="31"/>
  <c r="U1908" i="31" a="1"/>
  <c r="U1908" i="31"/>
  <c r="W1908" i="31" a="1"/>
  <c r="W1908" i="31"/>
  <c r="V1908" i="31" a="1"/>
  <c r="V1908" i="31"/>
  <c r="U1907" i="31" a="1"/>
  <c r="U1907" i="31"/>
  <c r="W1907" i="31" a="1"/>
  <c r="W1907" i="31"/>
  <c r="V1907" i="31" a="1"/>
  <c r="V1907" i="31"/>
  <c r="U1906" i="31" a="1"/>
  <c r="U1906" i="31"/>
  <c r="W1906" i="31" a="1"/>
  <c r="W1906" i="31"/>
  <c r="V1906" i="31" a="1"/>
  <c r="V1906" i="31"/>
  <c r="U1905" i="31" a="1"/>
  <c r="U1905" i="31"/>
  <c r="W1905" i="31" a="1"/>
  <c r="W1905" i="31"/>
  <c r="V1905" i="31" a="1"/>
  <c r="V1905" i="31"/>
  <c r="U1904" i="31" a="1"/>
  <c r="U1904" i="31"/>
  <c r="W1904" i="31" a="1"/>
  <c r="W1904" i="31"/>
  <c r="V1904" i="31" a="1"/>
  <c r="V1904" i="31"/>
  <c r="U1903" i="31" a="1"/>
  <c r="U1903" i="31"/>
  <c r="W1903" i="31" a="1"/>
  <c r="W1903" i="31"/>
  <c r="V1903" i="31" a="1"/>
  <c r="V1903" i="31"/>
  <c r="U1902" i="31" a="1"/>
  <c r="U1902" i="31"/>
  <c r="W1902" i="31" a="1"/>
  <c r="W1902" i="31"/>
  <c r="V1902" i="31" a="1"/>
  <c r="V1902" i="31"/>
  <c r="U1901" i="31" a="1"/>
  <c r="U1901" i="31"/>
  <c r="W1901" i="31" a="1"/>
  <c r="W1901" i="31"/>
  <c r="V1901" i="31" a="1"/>
  <c r="V1901" i="31"/>
  <c r="U1900" i="31" a="1"/>
  <c r="U1900" i="31"/>
  <c r="W1900" i="31" a="1"/>
  <c r="W1900" i="31"/>
  <c r="V1900" i="31" a="1"/>
  <c r="V1900" i="31"/>
  <c r="U1899" i="31" a="1"/>
  <c r="U1899" i="31"/>
  <c r="W1899" i="31" a="1"/>
  <c r="W1899" i="31"/>
  <c r="V1899" i="31" a="1"/>
  <c r="V1899" i="31"/>
  <c r="U1898" i="31" a="1"/>
  <c r="U1898" i="31"/>
  <c r="W1898" i="31" a="1"/>
  <c r="W1898" i="31"/>
  <c r="V1898" i="31" a="1"/>
  <c r="V1898" i="31"/>
  <c r="U1897" i="31" a="1"/>
  <c r="U1897" i="31"/>
  <c r="W1897" i="31" a="1"/>
  <c r="W1897" i="31"/>
  <c r="V1897" i="31" a="1"/>
  <c r="V1897" i="31"/>
  <c r="U1896" i="31" a="1"/>
  <c r="U1896" i="31"/>
  <c r="W1896" i="31" a="1"/>
  <c r="W1896" i="31"/>
  <c r="V1896" i="31" a="1"/>
  <c r="V1896" i="31"/>
  <c r="U1895" i="31" a="1"/>
  <c r="U1895" i="31"/>
  <c r="W1895" i="31" a="1"/>
  <c r="W1895" i="31"/>
  <c r="V1895" i="31" a="1"/>
  <c r="V1895" i="31"/>
  <c r="U1894" i="31" a="1"/>
  <c r="U1894" i="31"/>
  <c r="W1894" i="31" a="1"/>
  <c r="W1894" i="31"/>
  <c r="V1894" i="31" a="1"/>
  <c r="V1894" i="31"/>
  <c r="U1893" i="31" a="1"/>
  <c r="U1893" i="31"/>
  <c r="W1893" i="31" a="1"/>
  <c r="W1893" i="31"/>
  <c r="V1893" i="31" a="1"/>
  <c r="V1893" i="31"/>
  <c r="U1892" i="31" a="1"/>
  <c r="U1892" i="31"/>
  <c r="W1892" i="31" a="1"/>
  <c r="W1892" i="31"/>
  <c r="V1892" i="31" a="1"/>
  <c r="V1892" i="31"/>
  <c r="U1891" i="31" a="1"/>
  <c r="U1891" i="31"/>
  <c r="W1891" i="31" a="1"/>
  <c r="W1891" i="31"/>
  <c r="V1891" i="31" a="1"/>
  <c r="V1891" i="31"/>
  <c r="U1890" i="31" a="1"/>
  <c r="U1890" i="31"/>
  <c r="W1890" i="31" a="1"/>
  <c r="W1890" i="31"/>
  <c r="V1890" i="31" a="1"/>
  <c r="V1890" i="31"/>
  <c r="U1889" i="31" a="1"/>
  <c r="U1889" i="31"/>
  <c r="W1889" i="31" a="1"/>
  <c r="W1889" i="31"/>
  <c r="V1889" i="31" a="1"/>
  <c r="V1889" i="31"/>
  <c r="U1888" i="31" a="1"/>
  <c r="U1888" i="31"/>
  <c r="W1888" i="31" a="1"/>
  <c r="W1888" i="31"/>
  <c r="V1888" i="31" a="1"/>
  <c r="V1888" i="31"/>
  <c r="U1887" i="31" a="1"/>
  <c r="U1887" i="31"/>
  <c r="W1887" i="31" a="1"/>
  <c r="W1887" i="31"/>
  <c r="V1887" i="31" a="1"/>
  <c r="V1887" i="31"/>
  <c r="U1886" i="31" a="1"/>
  <c r="U1886" i="31"/>
  <c r="W1886" i="31" a="1"/>
  <c r="W1886" i="31"/>
  <c r="V1886" i="31" a="1"/>
  <c r="V1886" i="31"/>
  <c r="U1885" i="31" a="1"/>
  <c r="U1885" i="31"/>
  <c r="W1885" i="31" a="1"/>
  <c r="W1885" i="31"/>
  <c r="V1885" i="31" a="1"/>
  <c r="V1885" i="31"/>
  <c r="U1884" i="31" a="1"/>
  <c r="U1884" i="31"/>
  <c r="W1884" i="31" a="1"/>
  <c r="W1884" i="31"/>
  <c r="V1884" i="31" a="1"/>
  <c r="V1884" i="31"/>
  <c r="U1883" i="31" a="1"/>
  <c r="U1883" i="31"/>
  <c r="W1883" i="31" a="1"/>
  <c r="W1883" i="31"/>
  <c r="V1883" i="31" a="1"/>
  <c r="V1883" i="31"/>
  <c r="U1882" i="31" a="1"/>
  <c r="U1882" i="31"/>
  <c r="W1882" i="31" a="1"/>
  <c r="W1882" i="31"/>
  <c r="V1882" i="31" a="1"/>
  <c r="V1882" i="31"/>
  <c r="U1881" i="31" a="1"/>
  <c r="U1881" i="31"/>
  <c r="W1881" i="31" a="1"/>
  <c r="W1881" i="31"/>
  <c r="V1881" i="31" a="1"/>
  <c r="V1881" i="31"/>
  <c r="U1880" i="31" a="1"/>
  <c r="U1880" i="31"/>
  <c r="W1880" i="31" a="1"/>
  <c r="W1880" i="31"/>
  <c r="V1880" i="31" a="1"/>
  <c r="V1880" i="31"/>
  <c r="U1879" i="31" a="1"/>
  <c r="U1879" i="31"/>
  <c r="W1879" i="31" a="1"/>
  <c r="W1879" i="31"/>
  <c r="V1879" i="31" a="1"/>
  <c r="V1879" i="31"/>
  <c r="U1878" i="31" a="1"/>
  <c r="U1878" i="31"/>
  <c r="W1878" i="31" a="1"/>
  <c r="W1878" i="31"/>
  <c r="V1878" i="31" a="1"/>
  <c r="V1878" i="31"/>
  <c r="U1877" i="31" a="1"/>
  <c r="U1877" i="31"/>
  <c r="W1877" i="31" a="1"/>
  <c r="W1877" i="31"/>
  <c r="V1877" i="31" a="1"/>
  <c r="V1877" i="31"/>
  <c r="U1876" i="31" a="1"/>
  <c r="U1876" i="31"/>
  <c r="W1876" i="31" a="1"/>
  <c r="W1876" i="31"/>
  <c r="V1876" i="31" a="1"/>
  <c r="V1876" i="31"/>
  <c r="U1875" i="31" a="1"/>
  <c r="U1875" i="31"/>
  <c r="W1875" i="31" a="1"/>
  <c r="W1875" i="31"/>
  <c r="V1875" i="31" a="1"/>
  <c r="V1875" i="31"/>
  <c r="U1874" i="31" a="1"/>
  <c r="U1874" i="31"/>
  <c r="W1874" i="31" a="1"/>
  <c r="W1874" i="31"/>
  <c r="V1874" i="31" a="1"/>
  <c r="V1874" i="31"/>
  <c r="U1873" i="31" a="1"/>
  <c r="U1873" i="31"/>
  <c r="W1873" i="31" a="1"/>
  <c r="W1873" i="31"/>
  <c r="V1873" i="31" a="1"/>
  <c r="V1873" i="31"/>
  <c r="U1872" i="31" a="1"/>
  <c r="U1872" i="31"/>
  <c r="W1872" i="31" a="1"/>
  <c r="W1872" i="31"/>
  <c r="V1872" i="31" a="1"/>
  <c r="V1872" i="31"/>
  <c r="U1871" i="31" a="1"/>
  <c r="U1871" i="31"/>
  <c r="W1871" i="31" a="1"/>
  <c r="W1871" i="31"/>
  <c r="V1871" i="31" a="1"/>
  <c r="V1871" i="31"/>
  <c r="U1870" i="31" a="1"/>
  <c r="U1870" i="31"/>
  <c r="W1870" i="31" a="1"/>
  <c r="W1870" i="31"/>
  <c r="V1870" i="31" a="1"/>
  <c r="V1870" i="31"/>
  <c r="U1869" i="31" a="1"/>
  <c r="U1869" i="31"/>
  <c r="W1869" i="31" a="1"/>
  <c r="W1869" i="31"/>
  <c r="V1869" i="31" a="1"/>
  <c r="V1869" i="31"/>
  <c r="U1868" i="31" a="1"/>
  <c r="U1868" i="31"/>
  <c r="W1868" i="31" a="1"/>
  <c r="W1868" i="31"/>
  <c r="V1868" i="31" a="1"/>
  <c r="V1868" i="31"/>
  <c r="U1867" i="31" a="1"/>
  <c r="U1867" i="31"/>
  <c r="W1867" i="31" a="1"/>
  <c r="W1867" i="31"/>
  <c r="V1867" i="31" a="1"/>
  <c r="V1867" i="31"/>
  <c r="U1866" i="31" a="1"/>
  <c r="U1866" i="31"/>
  <c r="W1866" i="31" a="1"/>
  <c r="W1866" i="31"/>
  <c r="V1866" i="31" a="1"/>
  <c r="V1866" i="31"/>
  <c r="U1865" i="31" a="1"/>
  <c r="U1865" i="31"/>
  <c r="W1865" i="31" a="1"/>
  <c r="W1865" i="31"/>
  <c r="V1865" i="31" a="1"/>
  <c r="V1865" i="31"/>
  <c r="U1864" i="31" a="1"/>
  <c r="U1864" i="31"/>
  <c r="W1864" i="31" a="1"/>
  <c r="W1864" i="31"/>
  <c r="V1864" i="31" a="1"/>
  <c r="V1864" i="31"/>
  <c r="U1863" i="31" a="1"/>
  <c r="U1863" i="31"/>
  <c r="W1863" i="31" a="1"/>
  <c r="W1863" i="31"/>
  <c r="V1863" i="31" a="1"/>
  <c r="V1863" i="31"/>
  <c r="U1862" i="31" a="1"/>
  <c r="U1862" i="31"/>
  <c r="W1862" i="31" a="1"/>
  <c r="W1862" i="31"/>
  <c r="V1862" i="31" a="1"/>
  <c r="V1862" i="31"/>
  <c r="U1861" i="31" a="1"/>
  <c r="U1861" i="31"/>
  <c r="W1861" i="31" a="1"/>
  <c r="W1861" i="31"/>
  <c r="V1861" i="31" a="1"/>
  <c r="V1861" i="31"/>
  <c r="U1860" i="31" a="1"/>
  <c r="U1860" i="31"/>
  <c r="W1860" i="31" a="1"/>
  <c r="W1860" i="31"/>
  <c r="V1860" i="31" a="1"/>
  <c r="V1860" i="31"/>
  <c r="U1859" i="31" a="1"/>
  <c r="U1859" i="31"/>
  <c r="W1859" i="31" a="1"/>
  <c r="W1859" i="31"/>
  <c r="V1859" i="31" a="1"/>
  <c r="V1859" i="31"/>
  <c r="U1858" i="31" a="1"/>
  <c r="U1858" i="31"/>
  <c r="W1858" i="31" a="1"/>
  <c r="W1858" i="31"/>
  <c r="V1858" i="31" a="1"/>
  <c r="V1858" i="31"/>
  <c r="U1857" i="31" a="1"/>
  <c r="U1857" i="31"/>
  <c r="W1857" i="31" a="1"/>
  <c r="W1857" i="31"/>
  <c r="V1857" i="31" a="1"/>
  <c r="V1857" i="31"/>
  <c r="U1856" i="31" a="1"/>
  <c r="U1856" i="31"/>
  <c r="W1856" i="31" a="1"/>
  <c r="W1856" i="31"/>
  <c r="V1856" i="31" a="1"/>
  <c r="V1856" i="31"/>
  <c r="U1855" i="31" a="1"/>
  <c r="U1855" i="31"/>
  <c r="W1855" i="31" a="1"/>
  <c r="W1855" i="31"/>
  <c r="V1855" i="31" a="1"/>
  <c r="V1855" i="31"/>
  <c r="U1854" i="31" a="1"/>
  <c r="U1854" i="31"/>
  <c r="W1854" i="31" a="1"/>
  <c r="W1854" i="31"/>
  <c r="V1854" i="31" a="1"/>
  <c r="V1854" i="31"/>
  <c r="U1853" i="31" a="1"/>
  <c r="U1853" i="31"/>
  <c r="W1853" i="31" a="1"/>
  <c r="W1853" i="31"/>
  <c r="V1853" i="31" a="1"/>
  <c r="V1853" i="31"/>
  <c r="U1852" i="31" a="1"/>
  <c r="U1852" i="31"/>
  <c r="W1852" i="31" a="1"/>
  <c r="W1852" i="31"/>
  <c r="V1852" i="31" a="1"/>
  <c r="V1852" i="31"/>
  <c r="U1851" i="31" a="1"/>
  <c r="U1851" i="31"/>
  <c r="W1851" i="31" a="1"/>
  <c r="W1851" i="31"/>
  <c r="V1851" i="31" a="1"/>
  <c r="V1851" i="31"/>
  <c r="U1850" i="31" a="1"/>
  <c r="U1850" i="31"/>
  <c r="W1850" i="31" a="1"/>
  <c r="W1850" i="31"/>
  <c r="V1850" i="31" a="1"/>
  <c r="V1850" i="31"/>
  <c r="U1849" i="31" a="1"/>
  <c r="U1849" i="31"/>
  <c r="W1849" i="31" a="1"/>
  <c r="W1849" i="31"/>
  <c r="V1849" i="31" a="1"/>
  <c r="V1849" i="31"/>
  <c r="U1848" i="31" a="1"/>
  <c r="U1848" i="31"/>
  <c r="W1848" i="31" a="1"/>
  <c r="W1848" i="31"/>
  <c r="V1848" i="31" a="1"/>
  <c r="V1848" i="31"/>
  <c r="U1847" i="31" a="1"/>
  <c r="U1847" i="31"/>
  <c r="W1847" i="31" a="1"/>
  <c r="W1847" i="31"/>
  <c r="V1847" i="31" a="1"/>
  <c r="V1847" i="31"/>
  <c r="U1846" i="31" a="1"/>
  <c r="U1846" i="31"/>
  <c r="W1846" i="31" a="1"/>
  <c r="W1846" i="31"/>
  <c r="V1846" i="31" a="1"/>
  <c r="V1846" i="31"/>
  <c r="U1845" i="31" a="1"/>
  <c r="U1845" i="31"/>
  <c r="W1845" i="31" a="1"/>
  <c r="W1845" i="31"/>
  <c r="V1845" i="31" a="1"/>
  <c r="V1845" i="31"/>
  <c r="U1844" i="31" a="1"/>
  <c r="U1844" i="31"/>
  <c r="W1844" i="31" a="1"/>
  <c r="W1844" i="31"/>
  <c r="V1844" i="31" a="1"/>
  <c r="V1844" i="31"/>
  <c r="U1843" i="31" a="1"/>
  <c r="U1843" i="31"/>
  <c r="W1843" i="31" a="1"/>
  <c r="W1843" i="31"/>
  <c r="V1843" i="31" a="1"/>
  <c r="V1843" i="31"/>
  <c r="U1842" i="31" a="1"/>
  <c r="U1842" i="31"/>
  <c r="W1842" i="31" a="1"/>
  <c r="W1842" i="31"/>
  <c r="V1842" i="31" a="1"/>
  <c r="V1842" i="31"/>
  <c r="U1841" i="31" a="1"/>
  <c r="U1841" i="31"/>
  <c r="W1841" i="31" a="1"/>
  <c r="W1841" i="31"/>
  <c r="V1841" i="31" a="1"/>
  <c r="V1841" i="31"/>
  <c r="U1840" i="31" a="1"/>
  <c r="U1840" i="31"/>
  <c r="W1840" i="31" a="1"/>
  <c r="W1840" i="31"/>
  <c r="V1840" i="31" a="1"/>
  <c r="V1840" i="31"/>
  <c r="U1839" i="31" a="1"/>
  <c r="U1839" i="31"/>
  <c r="W1839" i="31" a="1"/>
  <c r="W1839" i="31"/>
  <c r="V1839" i="31" a="1"/>
  <c r="V1839" i="31"/>
  <c r="U1838" i="31" a="1"/>
  <c r="U1838" i="31"/>
  <c r="W1838" i="31" a="1"/>
  <c r="W1838" i="31"/>
  <c r="V1838" i="31" a="1"/>
  <c r="V1838" i="31"/>
  <c r="U1837" i="31" a="1"/>
  <c r="U1837" i="31"/>
  <c r="W1837" i="31" a="1"/>
  <c r="W1837" i="31"/>
  <c r="V1837" i="31" a="1"/>
  <c r="V1837" i="31"/>
  <c r="U1836" i="31" a="1"/>
  <c r="U1836" i="31"/>
  <c r="W1836" i="31" a="1"/>
  <c r="W1836" i="31"/>
  <c r="V1836" i="31" a="1"/>
  <c r="V1836" i="31"/>
  <c r="U1835" i="31" a="1"/>
  <c r="U1835" i="31"/>
  <c r="W1835" i="31" a="1"/>
  <c r="W1835" i="31"/>
  <c r="V1835" i="31" a="1"/>
  <c r="V1835" i="31"/>
  <c r="U1834" i="31" a="1"/>
  <c r="U1834" i="31"/>
  <c r="W1834" i="31" a="1"/>
  <c r="W1834" i="31"/>
  <c r="V1834" i="31" a="1"/>
  <c r="V1834" i="31"/>
  <c r="U1833" i="31" a="1"/>
  <c r="U1833" i="31"/>
  <c r="W1833" i="31" a="1"/>
  <c r="W1833" i="31"/>
  <c r="V1833" i="31" a="1"/>
  <c r="V1833" i="31"/>
  <c r="U1832" i="31" a="1"/>
  <c r="U1832" i="31"/>
  <c r="W1832" i="31" a="1"/>
  <c r="W1832" i="31"/>
  <c r="V1832" i="31" a="1"/>
  <c r="V1832" i="31"/>
  <c r="U1831" i="31" a="1"/>
  <c r="U1831" i="31"/>
  <c r="W1831" i="31" a="1"/>
  <c r="W1831" i="31"/>
  <c r="V1831" i="31" a="1"/>
  <c r="V1831" i="31"/>
  <c r="U1830" i="31" a="1"/>
  <c r="U1830" i="31"/>
  <c r="W1830" i="31" a="1"/>
  <c r="W1830" i="31"/>
  <c r="V1830" i="31" a="1"/>
  <c r="V1830" i="31"/>
  <c r="U1829" i="31" a="1"/>
  <c r="U1829" i="31"/>
  <c r="W1829" i="31" a="1"/>
  <c r="W1829" i="31"/>
  <c r="V1829" i="31" a="1"/>
  <c r="V1829" i="31"/>
  <c r="U1828" i="31" a="1"/>
  <c r="U1828" i="31"/>
  <c r="W1828" i="31" a="1"/>
  <c r="W1828" i="31"/>
  <c r="V1828" i="31" a="1"/>
  <c r="V1828" i="31"/>
  <c r="U1827" i="31" a="1"/>
  <c r="U1827" i="31"/>
  <c r="W1827" i="31" a="1"/>
  <c r="W1827" i="31"/>
  <c r="V1827" i="31" a="1"/>
  <c r="V1827" i="31"/>
  <c r="U1826" i="31" a="1"/>
  <c r="U1826" i="31"/>
  <c r="W1826" i="31" a="1"/>
  <c r="W1826" i="31"/>
  <c r="V1826" i="31" a="1"/>
  <c r="V1826" i="31"/>
  <c r="U1825" i="31" a="1"/>
  <c r="U1825" i="31"/>
  <c r="W1825" i="31" a="1"/>
  <c r="W1825" i="31"/>
  <c r="V1825" i="31" a="1"/>
  <c r="V1825" i="31"/>
  <c r="U1824" i="31" a="1"/>
  <c r="U1824" i="31"/>
  <c r="W1824" i="31" a="1"/>
  <c r="W1824" i="31"/>
  <c r="V1824" i="31" a="1"/>
  <c r="V1824" i="31"/>
  <c r="U1823" i="31" a="1"/>
  <c r="U1823" i="31"/>
  <c r="W1823" i="31" a="1"/>
  <c r="W1823" i="31"/>
  <c r="V1823" i="31" a="1"/>
  <c r="V1823" i="31"/>
  <c r="U1822" i="31" a="1"/>
  <c r="U1822" i="31"/>
  <c r="W1822" i="31" a="1"/>
  <c r="W1822" i="31"/>
  <c r="V1822" i="31" a="1"/>
  <c r="V1822" i="31"/>
  <c r="U1821" i="31" a="1"/>
  <c r="U1821" i="31"/>
  <c r="W1821" i="31" a="1"/>
  <c r="W1821" i="31"/>
  <c r="V1821" i="31" a="1"/>
  <c r="V1821" i="31"/>
  <c r="U1820" i="31" a="1"/>
  <c r="U1820" i="31"/>
  <c r="W1820" i="31" a="1"/>
  <c r="W1820" i="31"/>
  <c r="V1820" i="31" a="1"/>
  <c r="V1820" i="31"/>
  <c r="U1819" i="31" a="1"/>
  <c r="U1819" i="31"/>
  <c r="W1819" i="31" a="1"/>
  <c r="W1819" i="31"/>
  <c r="V1819" i="31" a="1"/>
  <c r="V1819" i="31"/>
  <c r="U1818" i="31" a="1"/>
  <c r="U1818" i="31"/>
  <c r="W1818" i="31" a="1"/>
  <c r="W1818" i="31"/>
  <c r="V1818" i="31" a="1"/>
  <c r="V1818" i="31"/>
  <c r="U1817" i="31" a="1"/>
  <c r="U1817" i="31"/>
  <c r="W1817" i="31" a="1"/>
  <c r="W1817" i="31"/>
  <c r="V1817" i="31" a="1"/>
  <c r="V1817" i="31"/>
  <c r="U1816" i="31" a="1"/>
  <c r="U1816" i="31"/>
  <c r="W1816" i="31" a="1"/>
  <c r="W1816" i="31"/>
  <c r="V1816" i="31" a="1"/>
  <c r="V1816" i="31"/>
  <c r="U1815" i="31" a="1"/>
  <c r="U1815" i="31"/>
  <c r="W1815" i="31" a="1"/>
  <c r="W1815" i="31"/>
  <c r="V1815" i="31" a="1"/>
  <c r="V1815" i="31"/>
  <c r="U1814" i="31" a="1"/>
  <c r="U1814" i="31"/>
  <c r="W1814" i="31" a="1"/>
  <c r="W1814" i="31"/>
  <c r="V1814" i="31" a="1"/>
  <c r="V1814" i="31"/>
  <c r="U1813" i="31" a="1"/>
  <c r="U1813" i="31"/>
  <c r="W1813" i="31" a="1"/>
  <c r="W1813" i="31"/>
  <c r="V1813" i="31" a="1"/>
  <c r="V1813" i="31"/>
  <c r="U1812" i="31" a="1"/>
  <c r="U1812" i="31"/>
  <c r="W1812" i="31" a="1"/>
  <c r="W1812" i="31"/>
  <c r="V1812" i="31" a="1"/>
  <c r="V1812" i="31"/>
  <c r="U1811" i="31" a="1"/>
  <c r="U1811" i="31"/>
  <c r="W1811" i="31" a="1"/>
  <c r="W1811" i="31"/>
  <c r="V1811" i="31" a="1"/>
  <c r="V1811" i="31"/>
  <c r="U1810" i="31" a="1"/>
  <c r="U1810" i="31"/>
  <c r="W1810" i="31" a="1"/>
  <c r="W1810" i="31"/>
  <c r="V1810" i="31" a="1"/>
  <c r="V1810" i="31"/>
  <c r="U1809" i="31" a="1"/>
  <c r="U1809" i="31"/>
  <c r="W1809" i="31" a="1"/>
  <c r="W1809" i="31"/>
  <c r="V1809" i="31" a="1"/>
  <c r="V1809" i="31"/>
  <c r="U1808" i="31" a="1"/>
  <c r="U1808" i="31"/>
  <c r="W1808" i="31" a="1"/>
  <c r="W1808" i="31"/>
  <c r="V1808" i="31" a="1"/>
  <c r="V1808" i="31"/>
  <c r="U1807" i="31" a="1"/>
  <c r="U1807" i="31"/>
  <c r="W1807" i="31" a="1"/>
  <c r="W1807" i="31"/>
  <c r="V1807" i="31" a="1"/>
  <c r="V1807" i="31"/>
  <c r="U1806" i="31" a="1"/>
  <c r="U1806" i="31"/>
  <c r="W1806" i="31" a="1"/>
  <c r="W1806" i="31"/>
  <c r="V1806" i="31" a="1"/>
  <c r="V1806" i="31"/>
  <c r="U1805" i="31" a="1"/>
  <c r="U1805" i="31"/>
  <c r="W1805" i="31" a="1"/>
  <c r="W1805" i="31"/>
  <c r="V1805" i="31" a="1"/>
  <c r="V1805" i="31"/>
  <c r="U1804" i="31" a="1"/>
  <c r="U1804" i="31"/>
  <c r="W1804" i="31" a="1"/>
  <c r="W1804" i="31"/>
  <c r="V1804" i="31" a="1"/>
  <c r="V1804" i="31"/>
  <c r="U1803" i="31" a="1"/>
  <c r="U1803" i="31"/>
  <c r="W1803" i="31" a="1"/>
  <c r="W1803" i="31"/>
  <c r="V1803" i="31" a="1"/>
  <c r="V1803" i="31"/>
  <c r="U1802" i="31" a="1"/>
  <c r="U1802" i="31"/>
  <c r="W1802" i="31" a="1"/>
  <c r="W1802" i="31"/>
  <c r="V1802" i="31" a="1"/>
  <c r="V1802" i="31"/>
  <c r="U1801" i="31" a="1"/>
  <c r="U1801" i="31"/>
  <c r="W1801" i="31" a="1"/>
  <c r="W1801" i="31"/>
  <c r="V1801" i="31" a="1"/>
  <c r="V1801" i="31"/>
  <c r="U1800" i="31" a="1"/>
  <c r="U1800" i="31"/>
  <c r="W1800" i="31" a="1"/>
  <c r="W1800" i="31"/>
  <c r="V1800" i="31" a="1"/>
  <c r="V1800" i="31"/>
  <c r="U1799" i="31" a="1"/>
  <c r="U1799" i="31"/>
  <c r="W1799" i="31" a="1"/>
  <c r="W1799" i="31"/>
  <c r="V1799" i="31" a="1"/>
  <c r="V1799" i="31"/>
  <c r="U1798" i="31" a="1"/>
  <c r="U1798" i="31"/>
  <c r="W1798" i="31" a="1"/>
  <c r="W1798" i="31"/>
  <c r="V1798" i="31" a="1"/>
  <c r="V1798" i="31"/>
  <c r="U1797" i="31" a="1"/>
  <c r="U1797" i="31"/>
  <c r="W1797" i="31" a="1"/>
  <c r="W1797" i="31"/>
  <c r="V1797" i="31" a="1"/>
  <c r="V1797" i="31"/>
  <c r="U1796" i="31" a="1"/>
  <c r="U1796" i="31"/>
  <c r="W1796" i="31" a="1"/>
  <c r="W1796" i="31"/>
  <c r="V1796" i="31" a="1"/>
  <c r="V1796" i="31"/>
  <c r="U1795" i="31" a="1"/>
  <c r="U1795" i="31"/>
  <c r="W1795" i="31" a="1"/>
  <c r="W1795" i="31"/>
  <c r="V1795" i="31" a="1"/>
  <c r="V1795" i="31"/>
  <c r="U1794" i="31" a="1"/>
  <c r="U1794" i="31"/>
  <c r="W1794" i="31" a="1"/>
  <c r="W1794" i="31"/>
  <c r="V1794" i="31" a="1"/>
  <c r="V1794" i="31"/>
  <c r="U1793" i="31" a="1"/>
  <c r="U1793" i="31"/>
  <c r="W1793" i="31" a="1"/>
  <c r="W1793" i="31"/>
  <c r="V1793" i="31" a="1"/>
  <c r="V1793" i="31"/>
  <c r="U1792" i="31" a="1"/>
  <c r="U1792" i="31"/>
  <c r="W1792" i="31" a="1"/>
  <c r="W1792" i="31"/>
  <c r="V1792" i="31" a="1"/>
  <c r="V1792" i="31"/>
  <c r="U1791" i="31" a="1"/>
  <c r="U1791" i="31"/>
  <c r="W1791" i="31" a="1"/>
  <c r="W1791" i="31"/>
  <c r="V1791" i="31" a="1"/>
  <c r="V1791" i="31"/>
  <c r="U1790" i="31" a="1"/>
  <c r="U1790" i="31"/>
  <c r="W1790" i="31" a="1"/>
  <c r="W1790" i="31"/>
  <c r="V1790" i="31" a="1"/>
  <c r="V1790" i="31"/>
  <c r="U1789" i="31" a="1"/>
  <c r="U1789" i="31"/>
  <c r="W1789" i="31" a="1"/>
  <c r="W1789" i="31"/>
  <c r="V1789" i="31" a="1"/>
  <c r="V1789" i="31"/>
  <c r="U1788" i="31" a="1"/>
  <c r="U1788" i="31"/>
  <c r="W1788" i="31" a="1"/>
  <c r="W1788" i="31"/>
  <c r="V1788" i="31" a="1"/>
  <c r="V1788" i="31"/>
  <c r="U1787" i="31" a="1"/>
  <c r="U1787" i="31"/>
  <c r="W1787" i="31" a="1"/>
  <c r="W1787" i="31"/>
  <c r="V1787" i="31" a="1"/>
  <c r="V1787" i="31"/>
  <c r="U1786" i="31" a="1"/>
  <c r="U1786" i="31"/>
  <c r="W1786" i="31" a="1"/>
  <c r="W1786" i="31"/>
  <c r="V1786" i="31" a="1"/>
  <c r="V1786" i="31"/>
  <c r="U1785" i="31" a="1"/>
  <c r="U1785" i="31"/>
  <c r="W1785" i="31" a="1"/>
  <c r="W1785" i="31"/>
  <c r="V1785" i="31" a="1"/>
  <c r="V1785" i="31"/>
  <c r="U1784" i="31" a="1"/>
  <c r="U1784" i="31"/>
  <c r="W1784" i="31" a="1"/>
  <c r="W1784" i="31"/>
  <c r="V1784" i="31" a="1"/>
  <c r="V1784" i="31"/>
  <c r="U1783" i="31" a="1"/>
  <c r="U1783" i="31"/>
  <c r="W1783" i="31" a="1"/>
  <c r="W1783" i="31"/>
  <c r="V1783" i="31" a="1"/>
  <c r="V1783" i="31"/>
  <c r="U1782" i="31" a="1"/>
  <c r="U1782" i="31"/>
  <c r="W1782" i="31" a="1"/>
  <c r="W1782" i="31"/>
  <c r="V1782" i="31" a="1"/>
  <c r="V1782" i="31"/>
  <c r="U1781" i="31" a="1"/>
  <c r="U1781" i="31"/>
  <c r="W1781" i="31" a="1"/>
  <c r="W1781" i="31"/>
  <c r="V1781" i="31" a="1"/>
  <c r="V1781" i="31"/>
  <c r="U1780" i="31" a="1"/>
  <c r="U1780" i="31"/>
  <c r="W1780" i="31" a="1"/>
  <c r="W1780" i="31"/>
  <c r="V1780" i="31" a="1"/>
  <c r="V1780" i="31"/>
  <c r="U1779" i="31" a="1"/>
  <c r="U1779" i="31"/>
  <c r="W1779" i="31" a="1"/>
  <c r="W1779" i="31"/>
  <c r="V1779" i="31" a="1"/>
  <c r="V1779" i="31"/>
  <c r="U1778" i="31" a="1"/>
  <c r="U1778" i="31"/>
  <c r="W1778" i="31" a="1"/>
  <c r="W1778" i="31"/>
  <c r="V1778" i="31" a="1"/>
  <c r="V1778" i="31"/>
  <c r="U1777" i="31" a="1"/>
  <c r="U1777" i="31"/>
  <c r="W1777" i="31" a="1"/>
  <c r="W1777" i="31"/>
  <c r="V1777" i="31" a="1"/>
  <c r="V1777" i="31"/>
  <c r="U1776" i="31" a="1"/>
  <c r="U1776" i="31"/>
  <c r="W1776" i="31" a="1"/>
  <c r="W1776" i="31"/>
  <c r="V1776" i="31" a="1"/>
  <c r="V1776" i="31"/>
  <c r="U1775" i="31" a="1"/>
  <c r="U1775" i="31"/>
  <c r="W1775" i="31" a="1"/>
  <c r="W1775" i="31"/>
  <c r="V1775" i="31" a="1"/>
  <c r="V1775" i="31"/>
  <c r="U1774" i="31" a="1"/>
  <c r="U1774" i="31"/>
  <c r="W1774" i="31" a="1"/>
  <c r="W1774" i="31"/>
  <c r="V1774" i="31" a="1"/>
  <c r="V1774" i="31"/>
  <c r="U1773" i="31" a="1"/>
  <c r="U1773" i="31"/>
  <c r="W1773" i="31" a="1"/>
  <c r="W1773" i="31"/>
  <c r="V1773" i="31" a="1"/>
  <c r="V1773" i="31"/>
  <c r="U1772" i="31" a="1"/>
  <c r="U1772" i="31"/>
  <c r="W1772" i="31" a="1"/>
  <c r="W1772" i="31"/>
  <c r="V1772" i="31" a="1"/>
  <c r="V1772" i="31"/>
  <c r="U1771" i="31" a="1"/>
  <c r="U1771" i="31"/>
  <c r="W1771" i="31" a="1"/>
  <c r="W1771" i="31"/>
  <c r="V1771" i="31" a="1"/>
  <c r="V1771" i="31"/>
  <c r="U1770" i="31" a="1"/>
  <c r="U1770" i="31"/>
  <c r="W1770" i="31" a="1"/>
  <c r="W1770" i="31"/>
  <c r="V1770" i="31" a="1"/>
  <c r="V1770" i="31"/>
  <c r="U1769" i="31" a="1"/>
  <c r="U1769" i="31"/>
  <c r="W1769" i="31" a="1"/>
  <c r="W1769" i="31"/>
  <c r="V1769" i="31" a="1"/>
  <c r="V1769" i="31"/>
  <c r="U1768" i="31" a="1"/>
  <c r="U1768" i="31"/>
  <c r="W1768" i="31" a="1"/>
  <c r="W1768" i="31"/>
  <c r="V1768" i="31" a="1"/>
  <c r="V1768" i="31"/>
  <c r="U1767" i="31" a="1"/>
  <c r="U1767" i="31"/>
  <c r="W1767" i="31" a="1"/>
  <c r="W1767" i="31"/>
  <c r="V1767" i="31" a="1"/>
  <c r="V1767" i="31"/>
  <c r="U1766" i="31" a="1"/>
  <c r="U1766" i="31"/>
  <c r="W1766" i="31" a="1"/>
  <c r="W1766" i="31"/>
  <c r="V1766" i="31" a="1"/>
  <c r="V1766" i="31"/>
  <c r="U1765" i="31" a="1"/>
  <c r="U1765" i="31"/>
  <c r="W1765" i="31" a="1"/>
  <c r="W1765" i="31"/>
  <c r="V1765" i="31" a="1"/>
  <c r="V1765" i="31"/>
  <c r="U1764" i="31" a="1"/>
  <c r="U1764" i="31"/>
  <c r="W1764" i="31" a="1"/>
  <c r="W1764" i="31"/>
  <c r="V1764" i="31" a="1"/>
  <c r="V1764" i="31"/>
  <c r="U1763" i="31" a="1"/>
  <c r="U1763" i="31"/>
  <c r="W1763" i="31" a="1"/>
  <c r="W1763" i="31"/>
  <c r="V1763" i="31" a="1"/>
  <c r="V1763" i="31"/>
  <c r="U1762" i="31" a="1"/>
  <c r="U1762" i="31"/>
  <c r="W1762" i="31" a="1"/>
  <c r="W1762" i="31"/>
  <c r="V1762" i="31" a="1"/>
  <c r="V1762" i="31"/>
  <c r="U1761" i="31" a="1"/>
  <c r="U1761" i="31"/>
  <c r="W1761" i="31" a="1"/>
  <c r="W1761" i="31"/>
  <c r="V1761" i="31" a="1"/>
  <c r="V1761" i="31"/>
  <c r="U1760" i="31" a="1"/>
  <c r="U1760" i="31"/>
  <c r="W1760" i="31" a="1"/>
  <c r="W1760" i="31"/>
  <c r="V1760" i="31" a="1"/>
  <c r="V1760" i="31"/>
  <c r="U1759" i="31" a="1"/>
  <c r="U1759" i="31"/>
  <c r="W1759" i="31" a="1"/>
  <c r="W1759" i="31"/>
  <c r="V1759" i="31" a="1"/>
  <c r="V1759" i="31"/>
  <c r="U1758" i="31" a="1"/>
  <c r="U1758" i="31"/>
  <c r="W1758" i="31" a="1"/>
  <c r="W1758" i="31"/>
  <c r="V1758" i="31" a="1"/>
  <c r="V1758" i="31"/>
  <c r="U1757" i="31" a="1"/>
  <c r="U1757" i="31"/>
  <c r="W1757" i="31" a="1"/>
  <c r="W1757" i="31"/>
  <c r="V1757" i="31" a="1"/>
  <c r="V1757" i="31"/>
  <c r="U1756" i="31" a="1"/>
  <c r="U1756" i="31"/>
  <c r="W1756" i="31" a="1"/>
  <c r="W1756" i="31"/>
  <c r="V1756" i="31" a="1"/>
  <c r="V1756" i="31"/>
  <c r="U1755" i="31" a="1"/>
  <c r="U1755" i="31"/>
  <c r="W1755" i="31" a="1"/>
  <c r="W1755" i="31"/>
  <c r="V1755" i="31" a="1"/>
  <c r="V1755" i="31"/>
  <c r="U1754" i="31" a="1"/>
  <c r="U1754" i="31"/>
  <c r="W1754" i="31" a="1"/>
  <c r="W1754" i="31"/>
  <c r="V1754" i="31" a="1"/>
  <c r="V1754" i="31"/>
  <c r="U1753" i="31" a="1"/>
  <c r="U1753" i="31"/>
  <c r="W1753" i="31" a="1"/>
  <c r="W1753" i="31"/>
  <c r="V1753" i="31" a="1"/>
  <c r="V1753" i="31"/>
  <c r="U1752" i="31" a="1"/>
  <c r="U1752" i="31"/>
  <c r="W1752" i="31" a="1"/>
  <c r="W1752" i="31"/>
  <c r="V1752" i="31" a="1"/>
  <c r="V1752" i="31"/>
  <c r="U1751" i="31" a="1"/>
  <c r="U1751" i="31"/>
  <c r="W1751" i="31" a="1"/>
  <c r="W1751" i="31"/>
  <c r="V1751" i="31" a="1"/>
  <c r="V1751" i="31"/>
  <c r="U1750" i="31" a="1"/>
  <c r="U1750" i="31"/>
  <c r="W1750" i="31" a="1"/>
  <c r="W1750" i="31"/>
  <c r="V1750" i="31" a="1"/>
  <c r="V1750" i="31"/>
  <c r="U1749" i="31" a="1"/>
  <c r="U1749" i="31"/>
  <c r="W1749" i="31" a="1"/>
  <c r="W1749" i="31"/>
  <c r="V1749" i="31" a="1"/>
  <c r="V1749" i="31"/>
  <c r="U1748" i="31" a="1"/>
  <c r="U1748" i="31"/>
  <c r="W1748" i="31" a="1"/>
  <c r="W1748" i="31"/>
  <c r="V1748" i="31" a="1"/>
  <c r="V1748" i="31"/>
  <c r="U1747" i="31" a="1"/>
  <c r="U1747" i="31"/>
  <c r="W1747" i="31" a="1"/>
  <c r="W1747" i="31"/>
  <c r="V1747" i="31" a="1"/>
  <c r="V1747" i="31"/>
  <c r="U1746" i="31" a="1"/>
  <c r="U1746" i="31"/>
  <c r="W1746" i="31" a="1"/>
  <c r="W1746" i="31"/>
  <c r="V1746" i="31" a="1"/>
  <c r="V1746" i="31"/>
  <c r="U1745" i="31" a="1"/>
  <c r="U1745" i="31"/>
  <c r="W1745" i="31" a="1"/>
  <c r="W1745" i="31"/>
  <c r="V1745" i="31" a="1"/>
  <c r="V1745" i="31"/>
  <c r="U1744" i="31" a="1"/>
  <c r="U1744" i="31"/>
  <c r="W1744" i="31" a="1"/>
  <c r="W1744" i="31"/>
  <c r="V1744" i="31" a="1"/>
  <c r="V1744" i="31"/>
  <c r="U1743" i="31" a="1"/>
  <c r="U1743" i="31"/>
  <c r="W1743" i="31" a="1"/>
  <c r="W1743" i="31"/>
  <c r="V1743" i="31" a="1"/>
  <c r="V1743" i="31"/>
  <c r="U1742" i="31" a="1"/>
  <c r="U1742" i="31"/>
  <c r="W1742" i="31" a="1"/>
  <c r="W1742" i="31"/>
  <c r="V1742" i="31" a="1"/>
  <c r="V1742" i="31"/>
  <c r="U1741" i="31" a="1"/>
  <c r="U1741" i="31"/>
  <c r="W1741" i="31" a="1"/>
  <c r="W1741" i="31"/>
  <c r="V1741" i="31" a="1"/>
  <c r="V1741" i="31"/>
  <c r="U1740" i="31" a="1"/>
  <c r="U1740" i="31"/>
  <c r="W1740" i="31" a="1"/>
  <c r="W1740" i="31"/>
  <c r="V1740" i="31" a="1"/>
  <c r="V1740" i="31"/>
  <c r="U1739" i="31" a="1"/>
  <c r="U1739" i="31"/>
  <c r="W1739" i="31" a="1"/>
  <c r="W1739" i="31"/>
  <c r="V1739" i="31" a="1"/>
  <c r="V1739" i="31"/>
  <c r="U1738" i="31" a="1"/>
  <c r="U1738" i="31"/>
  <c r="W1738" i="31" a="1"/>
  <c r="W1738" i="31"/>
  <c r="V1738" i="31" a="1"/>
  <c r="V1738" i="31"/>
  <c r="U1737" i="31" a="1"/>
  <c r="U1737" i="31"/>
  <c r="W1737" i="31" a="1"/>
  <c r="W1737" i="31"/>
  <c r="V1737" i="31" a="1"/>
  <c r="V1737" i="31"/>
  <c r="U1736" i="31" a="1"/>
  <c r="U1736" i="31"/>
  <c r="W1736" i="31" a="1"/>
  <c r="W1736" i="31"/>
  <c r="V1736" i="31" a="1"/>
  <c r="V1736" i="31"/>
  <c r="U1735" i="31" a="1"/>
  <c r="U1735" i="31"/>
  <c r="W1735" i="31" a="1"/>
  <c r="W1735" i="31"/>
  <c r="V1735" i="31" a="1"/>
  <c r="V1735" i="31"/>
  <c r="U1734" i="31" a="1"/>
  <c r="U1734" i="31"/>
  <c r="W1734" i="31" a="1"/>
  <c r="W1734" i="31"/>
  <c r="V1734" i="31" a="1"/>
  <c r="V1734" i="31"/>
  <c r="U1733" i="31" a="1"/>
  <c r="U1733" i="31"/>
  <c r="W1733" i="31" a="1"/>
  <c r="W1733" i="31"/>
  <c r="V1733" i="31" a="1"/>
  <c r="V1733" i="31"/>
  <c r="U1732" i="31" a="1"/>
  <c r="U1732" i="31"/>
  <c r="W1732" i="31" a="1"/>
  <c r="W1732" i="31"/>
  <c r="V1732" i="31" a="1"/>
  <c r="V1732" i="31"/>
  <c r="U1731" i="31" a="1"/>
  <c r="U1731" i="31"/>
  <c r="W1731" i="31" a="1"/>
  <c r="W1731" i="31"/>
  <c r="V1731" i="31" a="1"/>
  <c r="V1731" i="31"/>
  <c r="U1730" i="31" a="1"/>
  <c r="U1730" i="31"/>
  <c r="W1730" i="31" a="1"/>
  <c r="W1730" i="31"/>
  <c r="V1730" i="31" a="1"/>
  <c r="V1730" i="31"/>
  <c r="U1729" i="31" a="1"/>
  <c r="U1729" i="31"/>
  <c r="W1729" i="31" a="1"/>
  <c r="W1729" i="31"/>
  <c r="V1729" i="31" a="1"/>
  <c r="V1729" i="31"/>
  <c r="U1728" i="31" a="1"/>
  <c r="U1728" i="31"/>
  <c r="W1728" i="31" a="1"/>
  <c r="W1728" i="31"/>
  <c r="V1728" i="31" a="1"/>
  <c r="V1728" i="31"/>
  <c r="U1727" i="31" a="1"/>
  <c r="U1727" i="31"/>
  <c r="W1727" i="31" a="1"/>
  <c r="W1727" i="31"/>
  <c r="V1727" i="31" a="1"/>
  <c r="V1727" i="31"/>
  <c r="U1726" i="31" a="1"/>
  <c r="U1726" i="31"/>
  <c r="W1726" i="31" a="1"/>
  <c r="W1726" i="31"/>
  <c r="V1726" i="31" a="1"/>
  <c r="V1726" i="31"/>
  <c r="U1725" i="31" a="1"/>
  <c r="U1725" i="31"/>
  <c r="W1725" i="31" a="1"/>
  <c r="W1725" i="31"/>
  <c r="V1725" i="31" a="1"/>
  <c r="V1725" i="31"/>
  <c r="U1724" i="31" a="1"/>
  <c r="U1724" i="31"/>
  <c r="W1724" i="31" a="1"/>
  <c r="W1724" i="31"/>
  <c r="V1724" i="31" a="1"/>
  <c r="V1724" i="31"/>
  <c r="U1723" i="31" a="1"/>
  <c r="U1723" i="31"/>
  <c r="W1723" i="31" a="1"/>
  <c r="W1723" i="31"/>
  <c r="V1723" i="31" a="1"/>
  <c r="V1723" i="31"/>
  <c r="U1722" i="31" a="1"/>
  <c r="U1722" i="31"/>
  <c r="W1722" i="31" a="1"/>
  <c r="W1722" i="31"/>
  <c r="V1722" i="31" a="1"/>
  <c r="V1722" i="31"/>
  <c r="U1721" i="31" a="1"/>
  <c r="U1721" i="31"/>
  <c r="W1721" i="31" a="1"/>
  <c r="W1721" i="31"/>
  <c r="V1721" i="31" a="1"/>
  <c r="V1721" i="31"/>
  <c r="U1720" i="31" a="1"/>
  <c r="U1720" i="31"/>
  <c r="W1720" i="31" a="1"/>
  <c r="W1720" i="31"/>
  <c r="V1720" i="31" a="1"/>
  <c r="V1720" i="31"/>
  <c r="U1719" i="31" a="1"/>
  <c r="U1719" i="31"/>
  <c r="W1719" i="31" a="1"/>
  <c r="W1719" i="31"/>
  <c r="V1719" i="31" a="1"/>
  <c r="V1719" i="31"/>
  <c r="U1718" i="31" a="1"/>
  <c r="U1718" i="31"/>
  <c r="W1718" i="31" a="1"/>
  <c r="W1718" i="31"/>
  <c r="V1718" i="31" a="1"/>
  <c r="V1718" i="31"/>
  <c r="U1717" i="31" a="1"/>
  <c r="U1717" i="31"/>
  <c r="W1717" i="31" a="1"/>
  <c r="W1717" i="31"/>
  <c r="V1717" i="31" a="1"/>
  <c r="V1717" i="31"/>
  <c r="U1716" i="31" a="1"/>
  <c r="U1716" i="31"/>
  <c r="W1716" i="31" a="1"/>
  <c r="W1716" i="31"/>
  <c r="V1716" i="31" a="1"/>
  <c r="V1716" i="31"/>
  <c r="U1715" i="31" a="1"/>
  <c r="U1715" i="31"/>
  <c r="W1715" i="31" a="1"/>
  <c r="W1715" i="31"/>
  <c r="V1715" i="31" a="1"/>
  <c r="V1715" i="31"/>
  <c r="U1714" i="31" a="1"/>
  <c r="U1714" i="31"/>
  <c r="W1714" i="31" a="1"/>
  <c r="W1714" i="31"/>
  <c r="V1714" i="31" a="1"/>
  <c r="V1714" i="31"/>
  <c r="U1713" i="31" a="1"/>
  <c r="U1713" i="31"/>
  <c r="W1713" i="31" a="1"/>
  <c r="W1713" i="31"/>
  <c r="V1713" i="31" a="1"/>
  <c r="V1713" i="31"/>
  <c r="U1712" i="31" a="1"/>
  <c r="U1712" i="31"/>
  <c r="W1712" i="31" a="1"/>
  <c r="W1712" i="31"/>
  <c r="V1712" i="31" a="1"/>
  <c r="V1712" i="31"/>
  <c r="U1711" i="31" a="1"/>
  <c r="U1711" i="31"/>
  <c r="W1711" i="31" a="1"/>
  <c r="W1711" i="31"/>
  <c r="V1711" i="31" a="1"/>
  <c r="V1711" i="31"/>
  <c r="U1710" i="31" a="1"/>
  <c r="U1710" i="31"/>
  <c r="W1710" i="31" a="1"/>
  <c r="W1710" i="31"/>
  <c r="V1710" i="31" a="1"/>
  <c r="V1710" i="31"/>
  <c r="U1709" i="31" a="1"/>
  <c r="U1709" i="31"/>
  <c r="W1709" i="31" a="1"/>
  <c r="W1709" i="31"/>
  <c r="V1709" i="31" a="1"/>
  <c r="V1709" i="31"/>
  <c r="U1708" i="31" a="1"/>
  <c r="U1708" i="31"/>
  <c r="W1708" i="31" a="1"/>
  <c r="W1708" i="31"/>
  <c r="V1708" i="31" a="1"/>
  <c r="V1708" i="31"/>
  <c r="U1707" i="31" a="1"/>
  <c r="U1707" i="31"/>
  <c r="W1707" i="31" a="1"/>
  <c r="W1707" i="31"/>
  <c r="V1707" i="31" a="1"/>
  <c r="V1707" i="31"/>
  <c r="U1706" i="31" a="1"/>
  <c r="U1706" i="31"/>
  <c r="W1706" i="31" a="1"/>
  <c r="W1706" i="31"/>
  <c r="V1706" i="31" a="1"/>
  <c r="V1706" i="31"/>
  <c r="U1705" i="31" a="1"/>
  <c r="U1705" i="31"/>
  <c r="W1705" i="31" a="1"/>
  <c r="W1705" i="31"/>
  <c r="V1705" i="31" a="1"/>
  <c r="V1705" i="31"/>
  <c r="U1704" i="31" a="1"/>
  <c r="U1704" i="31"/>
  <c r="W1704" i="31" a="1"/>
  <c r="W1704" i="31"/>
  <c r="V1704" i="31" a="1"/>
  <c r="V1704" i="31"/>
  <c r="U1703" i="31" a="1"/>
  <c r="U1703" i="31"/>
  <c r="W1703" i="31" a="1"/>
  <c r="W1703" i="31"/>
  <c r="V1703" i="31" a="1"/>
  <c r="V1703" i="31"/>
  <c r="U1702" i="31" a="1"/>
  <c r="U1702" i="31"/>
  <c r="W1702" i="31" a="1"/>
  <c r="W1702" i="31"/>
  <c r="V1702" i="31" a="1"/>
  <c r="V1702" i="31"/>
  <c r="U1701" i="31" a="1"/>
  <c r="U1701" i="31"/>
  <c r="W1701" i="31" a="1"/>
  <c r="W1701" i="31"/>
  <c r="V1701" i="31" a="1"/>
  <c r="V1701" i="31"/>
  <c r="U1700" i="31" a="1"/>
  <c r="U1700" i="31"/>
  <c r="W1700" i="31" a="1"/>
  <c r="W1700" i="31"/>
  <c r="V1700" i="31" a="1"/>
  <c r="V1700" i="31"/>
  <c r="U1699" i="31" a="1"/>
  <c r="U1699" i="31"/>
  <c r="W1699" i="31" a="1"/>
  <c r="W1699" i="31"/>
  <c r="V1699" i="31" a="1"/>
  <c r="V1699" i="31"/>
  <c r="U1698" i="31" a="1"/>
  <c r="U1698" i="31"/>
  <c r="W1698" i="31" a="1"/>
  <c r="W1698" i="31"/>
  <c r="V1698" i="31" a="1"/>
  <c r="V1698" i="31"/>
  <c r="U1697" i="31" a="1"/>
  <c r="U1697" i="31"/>
  <c r="W1697" i="31" a="1"/>
  <c r="W1697" i="31"/>
  <c r="V1697" i="31" a="1"/>
  <c r="V1697" i="31"/>
  <c r="U1696" i="31" a="1"/>
  <c r="U1696" i="31"/>
  <c r="W1696" i="31" a="1"/>
  <c r="W1696" i="31"/>
  <c r="V1696" i="31" a="1"/>
  <c r="V1696" i="31"/>
  <c r="U1695" i="31" a="1"/>
  <c r="U1695" i="31"/>
  <c r="W1695" i="31" a="1"/>
  <c r="W1695" i="31"/>
  <c r="V1695" i="31" a="1"/>
  <c r="V1695" i="31"/>
  <c r="U1694" i="31" a="1"/>
  <c r="U1694" i="31"/>
  <c r="W1694" i="31" a="1"/>
  <c r="W1694" i="31"/>
  <c r="V1694" i="31" a="1"/>
  <c r="V1694" i="31"/>
  <c r="U1693" i="31" a="1"/>
  <c r="U1693" i="31"/>
  <c r="W1693" i="31" a="1"/>
  <c r="W1693" i="31"/>
  <c r="V1693" i="31" a="1"/>
  <c r="V1693" i="31"/>
  <c r="U1692" i="31" a="1"/>
  <c r="U1692" i="31"/>
  <c r="W1692" i="31" a="1"/>
  <c r="W1692" i="31"/>
  <c r="V1692" i="31" a="1"/>
  <c r="V1692" i="31"/>
  <c r="U1691" i="31" a="1"/>
  <c r="U1691" i="31"/>
  <c r="W1691" i="31" a="1"/>
  <c r="W1691" i="31"/>
  <c r="V1691" i="31" a="1"/>
  <c r="V1691" i="31"/>
  <c r="U1690" i="31" a="1"/>
  <c r="U1690" i="31"/>
  <c r="W1690" i="31" a="1"/>
  <c r="W1690" i="31"/>
  <c r="V1690" i="31" a="1"/>
  <c r="V1690" i="31"/>
  <c r="U1689" i="31" a="1"/>
  <c r="U1689" i="31"/>
  <c r="W1689" i="31" a="1"/>
  <c r="W1689" i="31"/>
  <c r="V1689" i="31" a="1"/>
  <c r="V1689" i="31"/>
  <c r="U1688" i="31" a="1"/>
  <c r="U1688" i="31"/>
  <c r="W1688" i="31" a="1"/>
  <c r="W1688" i="31"/>
  <c r="V1688" i="31" a="1"/>
  <c r="V1688" i="31"/>
  <c r="U1687" i="31" a="1"/>
  <c r="U1687" i="31"/>
  <c r="W1687" i="31" a="1"/>
  <c r="W1687" i="31"/>
  <c r="V1687" i="31" a="1"/>
  <c r="V1687" i="31"/>
  <c r="U1686" i="31" a="1"/>
  <c r="U1686" i="31"/>
  <c r="W1686" i="31" a="1"/>
  <c r="W1686" i="31"/>
  <c r="V1686" i="31" a="1"/>
  <c r="V1686" i="31"/>
  <c r="U1685" i="31" a="1"/>
  <c r="U1685" i="31"/>
  <c r="W1685" i="31" a="1"/>
  <c r="W1685" i="31"/>
  <c r="V1685" i="31" a="1"/>
  <c r="V1685" i="31"/>
  <c r="U1684" i="31" a="1"/>
  <c r="U1684" i="31"/>
  <c r="W1684" i="31" a="1"/>
  <c r="W1684" i="31"/>
  <c r="V1684" i="31" a="1"/>
  <c r="V1684" i="31"/>
  <c r="U1683" i="31" a="1"/>
  <c r="U1683" i="31"/>
  <c r="W1683" i="31" a="1"/>
  <c r="W1683" i="31"/>
  <c r="V1683" i="31" a="1"/>
  <c r="V1683" i="31"/>
  <c r="U1682" i="31" a="1"/>
  <c r="U1682" i="31"/>
  <c r="W1682" i="31" a="1"/>
  <c r="W1682" i="31"/>
  <c r="V1682" i="31" a="1"/>
  <c r="V1682" i="31"/>
  <c r="U1681" i="31" a="1"/>
  <c r="U1681" i="31"/>
  <c r="W1681" i="31" a="1"/>
  <c r="W1681" i="31"/>
  <c r="V1681" i="31" a="1"/>
  <c r="V1681" i="31"/>
  <c r="U1680" i="31" a="1"/>
  <c r="U1680" i="31"/>
  <c r="W1680" i="31" a="1"/>
  <c r="W1680" i="31"/>
  <c r="V1680" i="31" a="1"/>
  <c r="V1680" i="31"/>
  <c r="U1679" i="31" a="1"/>
  <c r="U1679" i="31"/>
  <c r="W1679" i="31" a="1"/>
  <c r="W1679" i="31"/>
  <c r="V1679" i="31" a="1"/>
  <c r="V1679" i="31"/>
  <c r="U1678" i="31" a="1"/>
  <c r="U1678" i="31"/>
  <c r="W1678" i="31" a="1"/>
  <c r="W1678" i="31"/>
  <c r="V1678" i="31" a="1"/>
  <c r="V1678" i="31"/>
  <c r="U1677" i="31" a="1"/>
  <c r="U1677" i="31"/>
  <c r="W1677" i="31" a="1"/>
  <c r="W1677" i="31"/>
  <c r="V1677" i="31" a="1"/>
  <c r="V1677" i="31"/>
  <c r="U1676" i="31" a="1"/>
  <c r="U1676" i="31"/>
  <c r="W1676" i="31" a="1"/>
  <c r="W1676" i="31"/>
  <c r="V1676" i="31" a="1"/>
  <c r="V1676" i="31"/>
  <c r="U1675" i="31" a="1"/>
  <c r="U1675" i="31"/>
  <c r="W1675" i="31" a="1"/>
  <c r="W1675" i="31"/>
  <c r="V1675" i="31" a="1"/>
  <c r="V1675" i="31"/>
  <c r="U1674" i="31" a="1"/>
  <c r="U1674" i="31"/>
  <c r="W1674" i="31" a="1"/>
  <c r="W1674" i="31"/>
  <c r="V1674" i="31" a="1"/>
  <c r="V1674" i="31"/>
  <c r="U1673" i="31" a="1"/>
  <c r="U1673" i="31"/>
  <c r="W1673" i="31" a="1"/>
  <c r="W1673" i="31"/>
  <c r="V1673" i="31" a="1"/>
  <c r="V1673" i="31"/>
  <c r="U1672" i="31" a="1"/>
  <c r="U1672" i="31"/>
  <c r="W1672" i="31" a="1"/>
  <c r="W1672" i="31"/>
  <c r="V1672" i="31" a="1"/>
  <c r="V1672" i="31"/>
  <c r="U1671" i="31" a="1"/>
  <c r="U1671" i="31"/>
  <c r="W1671" i="31" a="1"/>
  <c r="W1671" i="31"/>
  <c r="V1671" i="31" a="1"/>
  <c r="V1671" i="31"/>
  <c r="U1670" i="31" a="1"/>
  <c r="U1670" i="31"/>
  <c r="W1670" i="31" a="1"/>
  <c r="W1670" i="31"/>
  <c r="V1670" i="31" a="1"/>
  <c r="V1670" i="31"/>
  <c r="U1669" i="31" a="1"/>
  <c r="U1669" i="31"/>
  <c r="W1669" i="31" a="1"/>
  <c r="W1669" i="31"/>
  <c r="V1669" i="31" a="1"/>
  <c r="V1669" i="31"/>
  <c r="U1668" i="31" a="1"/>
  <c r="U1668" i="31"/>
  <c r="W1668" i="31" a="1"/>
  <c r="W1668" i="31"/>
  <c r="V1668" i="31" a="1"/>
  <c r="V1668" i="31"/>
  <c r="U1667" i="31" a="1"/>
  <c r="U1667" i="31"/>
  <c r="W1667" i="31" a="1"/>
  <c r="W1667" i="31"/>
  <c r="V1667" i="31" a="1"/>
  <c r="V1667" i="31"/>
  <c r="U1666" i="31" a="1"/>
  <c r="U1666" i="31"/>
  <c r="W1666" i="31" a="1"/>
  <c r="W1666" i="31"/>
  <c r="V1666" i="31" a="1"/>
  <c r="V1666" i="31"/>
  <c r="U1665" i="31" a="1"/>
  <c r="U1665" i="31"/>
  <c r="W1665" i="31" a="1"/>
  <c r="W1665" i="31"/>
  <c r="V1665" i="31" a="1"/>
  <c r="V1665" i="31"/>
  <c r="U1664" i="31" a="1"/>
  <c r="U1664" i="31"/>
  <c r="W1664" i="31" a="1"/>
  <c r="W1664" i="31"/>
  <c r="V1664" i="31" a="1"/>
  <c r="V1664" i="31"/>
  <c r="U1663" i="31" a="1"/>
  <c r="U1663" i="31"/>
  <c r="W1663" i="31" a="1"/>
  <c r="W1663" i="31"/>
  <c r="V1663" i="31" a="1"/>
  <c r="V1663" i="31"/>
  <c r="U1662" i="31" a="1"/>
  <c r="U1662" i="31"/>
  <c r="W1662" i="31" a="1"/>
  <c r="W1662" i="31"/>
  <c r="V1662" i="31" a="1"/>
  <c r="V1662" i="31"/>
  <c r="U1661" i="31" a="1"/>
  <c r="U1661" i="31"/>
  <c r="W1661" i="31" a="1"/>
  <c r="W1661" i="31"/>
  <c r="V1661" i="31" a="1"/>
  <c r="V1661" i="31"/>
  <c r="U1660" i="31" a="1"/>
  <c r="U1660" i="31"/>
  <c r="W1660" i="31" a="1"/>
  <c r="W1660" i="31"/>
  <c r="V1660" i="31" a="1"/>
  <c r="V1660" i="31"/>
  <c r="U1659" i="31" a="1"/>
  <c r="U1659" i="31"/>
  <c r="W1659" i="31" a="1"/>
  <c r="W1659" i="31"/>
  <c r="V1659" i="31" a="1"/>
  <c r="V1659" i="31"/>
  <c r="U1658" i="31" a="1"/>
  <c r="U1658" i="31"/>
  <c r="W1658" i="31" a="1"/>
  <c r="W1658" i="31"/>
  <c r="V1658" i="31" a="1"/>
  <c r="V1658" i="31"/>
  <c r="U1657" i="31" a="1"/>
  <c r="U1657" i="31"/>
  <c r="W1657" i="31" a="1"/>
  <c r="W1657" i="31"/>
  <c r="V1657" i="31" a="1"/>
  <c r="V1657" i="31"/>
  <c r="U1656" i="31" a="1"/>
  <c r="U1656" i="31"/>
  <c r="W1656" i="31" a="1"/>
  <c r="W1656" i="31"/>
  <c r="V1656" i="31" a="1"/>
  <c r="V1656" i="31"/>
  <c r="U1655" i="31" a="1"/>
  <c r="U1655" i="31"/>
  <c r="W1655" i="31" a="1"/>
  <c r="W1655" i="31"/>
  <c r="V1655" i="31" a="1"/>
  <c r="V1655" i="31"/>
  <c r="U1654" i="31" a="1"/>
  <c r="U1654" i="31"/>
  <c r="W1654" i="31" a="1"/>
  <c r="W1654" i="31"/>
  <c r="V1654" i="31" a="1"/>
  <c r="V1654" i="31"/>
  <c r="U1653" i="31" a="1"/>
  <c r="U1653" i="31"/>
  <c r="W1653" i="31" a="1"/>
  <c r="W1653" i="31"/>
  <c r="V1653" i="31" a="1"/>
  <c r="V1653" i="31"/>
  <c r="U1652" i="31" a="1"/>
  <c r="U1652" i="31"/>
  <c r="W1652" i="31" a="1"/>
  <c r="W1652" i="31"/>
  <c r="V1652" i="31" a="1"/>
  <c r="V1652" i="31"/>
  <c r="U1651" i="31" a="1"/>
  <c r="U1651" i="31"/>
  <c r="W1651" i="31" a="1"/>
  <c r="W1651" i="31"/>
  <c r="V1651" i="31" a="1"/>
  <c r="V1651" i="31"/>
  <c r="U1650" i="31" a="1"/>
  <c r="U1650" i="31"/>
  <c r="W1650" i="31" a="1"/>
  <c r="W1650" i="31"/>
  <c r="V1650" i="31" a="1"/>
  <c r="V1650" i="31"/>
  <c r="U1649" i="31" a="1"/>
  <c r="U1649" i="31"/>
  <c r="W1649" i="31" a="1"/>
  <c r="W1649" i="31"/>
  <c r="V1649" i="31" a="1"/>
  <c r="V1649" i="31"/>
  <c r="U1648" i="31" a="1"/>
  <c r="U1648" i="31"/>
  <c r="W1648" i="31" a="1"/>
  <c r="W1648" i="31"/>
  <c r="V1648" i="31" a="1"/>
  <c r="V1648" i="31"/>
  <c r="U1647" i="31" a="1"/>
  <c r="U1647" i="31"/>
  <c r="W1647" i="31" a="1"/>
  <c r="W1647" i="31"/>
  <c r="V1647" i="31" a="1"/>
  <c r="V1647" i="31"/>
  <c r="U1646" i="31" a="1"/>
  <c r="U1646" i="31"/>
  <c r="W1646" i="31" a="1"/>
  <c r="W1646" i="31"/>
  <c r="V1646" i="31" a="1"/>
  <c r="V1646" i="31"/>
  <c r="U1645" i="31" a="1"/>
  <c r="U1645" i="31"/>
  <c r="W1645" i="31" a="1"/>
  <c r="W1645" i="31"/>
  <c r="V1645" i="31" a="1"/>
  <c r="V1645" i="31"/>
  <c r="U1644" i="31" a="1"/>
  <c r="U1644" i="31"/>
  <c r="W1644" i="31" a="1"/>
  <c r="W1644" i="31"/>
  <c r="V1644" i="31" a="1"/>
  <c r="V1644" i="31"/>
  <c r="U1643" i="31" a="1"/>
  <c r="U1643" i="31"/>
  <c r="W1643" i="31" a="1"/>
  <c r="W1643" i="31"/>
  <c r="V1643" i="31" a="1"/>
  <c r="V1643" i="31"/>
  <c r="U1642" i="31" a="1"/>
  <c r="U1642" i="31"/>
  <c r="W1642" i="31" a="1"/>
  <c r="W1642" i="31"/>
  <c r="V1642" i="31" a="1"/>
  <c r="V1642" i="31"/>
  <c r="U1641" i="31" a="1"/>
  <c r="U1641" i="31"/>
  <c r="W1641" i="31" a="1"/>
  <c r="W1641" i="31"/>
  <c r="V1641" i="31" a="1"/>
  <c r="V1641" i="31"/>
  <c r="U1640" i="31" a="1"/>
  <c r="U1640" i="31"/>
  <c r="W1640" i="31" a="1"/>
  <c r="W1640" i="31"/>
  <c r="V1640" i="31" a="1"/>
  <c r="V1640" i="31"/>
  <c r="U1639" i="31" a="1"/>
  <c r="U1639" i="31"/>
  <c r="W1639" i="31" a="1"/>
  <c r="W1639" i="31"/>
  <c r="V1639" i="31" a="1"/>
  <c r="V1639" i="31"/>
  <c r="U1638" i="31" a="1"/>
  <c r="U1638" i="31"/>
  <c r="W1638" i="31" a="1"/>
  <c r="W1638" i="31"/>
  <c r="V1638" i="31" a="1"/>
  <c r="V1638" i="31"/>
  <c r="U1637" i="31" a="1"/>
  <c r="U1637" i="31"/>
  <c r="W1637" i="31" a="1"/>
  <c r="W1637" i="31"/>
  <c r="V1637" i="31" a="1"/>
  <c r="V1637" i="31"/>
  <c r="U1636" i="31" a="1"/>
  <c r="U1636" i="31"/>
  <c r="W1636" i="31" a="1"/>
  <c r="W1636" i="31"/>
  <c r="V1636" i="31" a="1"/>
  <c r="V1636" i="31"/>
  <c r="U1635" i="31" a="1"/>
  <c r="U1635" i="31"/>
  <c r="W1635" i="31" a="1"/>
  <c r="W1635" i="31"/>
  <c r="V1635" i="31" a="1"/>
  <c r="V1635" i="31"/>
  <c r="U1634" i="31" a="1"/>
  <c r="U1634" i="31"/>
  <c r="W1634" i="31" a="1"/>
  <c r="W1634" i="31"/>
  <c r="V1634" i="31" a="1"/>
  <c r="V1634" i="31"/>
  <c r="U1633" i="31" a="1"/>
  <c r="U1633" i="31"/>
  <c r="W1633" i="31" a="1"/>
  <c r="W1633" i="31"/>
  <c r="V1633" i="31" a="1"/>
  <c r="V1633" i="31"/>
  <c r="U1632" i="31" a="1"/>
  <c r="U1632" i="31"/>
  <c r="W1632" i="31" a="1"/>
  <c r="W1632" i="31"/>
  <c r="V1632" i="31" a="1"/>
  <c r="V1632" i="31"/>
  <c r="U1631" i="31" a="1"/>
  <c r="U1631" i="31"/>
  <c r="W1631" i="31" a="1"/>
  <c r="W1631" i="31"/>
  <c r="V1631" i="31" a="1"/>
  <c r="V1631" i="31"/>
  <c r="U1630" i="31" a="1"/>
  <c r="U1630" i="31"/>
  <c r="W1630" i="31" a="1"/>
  <c r="W1630" i="31"/>
  <c r="V1630" i="31" a="1"/>
  <c r="V1630" i="31"/>
  <c r="U1629" i="31" a="1"/>
  <c r="U1629" i="31"/>
  <c r="W1629" i="31" a="1"/>
  <c r="W1629" i="31"/>
  <c r="V1629" i="31" a="1"/>
  <c r="V1629" i="31"/>
  <c r="U1628" i="31" a="1"/>
  <c r="U1628" i="31"/>
  <c r="W1628" i="31" a="1"/>
  <c r="W1628" i="31"/>
  <c r="V1628" i="31" a="1"/>
  <c r="V1628" i="31"/>
  <c r="U1627" i="31" a="1"/>
  <c r="U1627" i="31"/>
  <c r="W1627" i="31" a="1"/>
  <c r="W1627" i="31"/>
  <c r="V1627" i="31" a="1"/>
  <c r="V1627" i="31"/>
  <c r="U1626" i="31" a="1"/>
  <c r="U1626" i="31"/>
  <c r="W1626" i="31" a="1"/>
  <c r="W1626" i="31"/>
  <c r="V1626" i="31" a="1"/>
  <c r="V1626" i="31"/>
  <c r="U1625" i="31" a="1"/>
  <c r="U1625" i="31"/>
  <c r="W1625" i="31" a="1"/>
  <c r="W1625" i="31"/>
  <c r="V1625" i="31" a="1"/>
  <c r="V1625" i="31"/>
  <c r="U1624" i="31" a="1"/>
  <c r="U1624" i="31"/>
  <c r="W1624" i="31" a="1"/>
  <c r="W1624" i="31"/>
  <c r="V1624" i="31" a="1"/>
  <c r="V1624" i="31"/>
  <c r="U1623" i="31" a="1"/>
  <c r="U1623" i="31"/>
  <c r="W1623" i="31" a="1"/>
  <c r="W1623" i="31"/>
  <c r="V1623" i="31" a="1"/>
  <c r="V1623" i="31"/>
  <c r="U1622" i="31" a="1"/>
  <c r="U1622" i="31"/>
  <c r="W1622" i="31" a="1"/>
  <c r="W1622" i="31"/>
  <c r="V1622" i="31" a="1"/>
  <c r="V1622" i="31"/>
  <c r="U1621" i="31" a="1"/>
  <c r="U1621" i="31"/>
  <c r="W1621" i="31" a="1"/>
  <c r="W1621" i="31"/>
  <c r="V1621" i="31" a="1"/>
  <c r="V1621" i="31"/>
  <c r="U1620" i="31" a="1"/>
  <c r="U1620" i="31"/>
  <c r="W1620" i="31" a="1"/>
  <c r="W1620" i="31"/>
  <c r="V1620" i="31" a="1"/>
  <c r="V1620" i="31"/>
  <c r="U1619" i="31" a="1"/>
  <c r="U1619" i="31"/>
  <c r="W1619" i="31" a="1"/>
  <c r="W1619" i="31"/>
  <c r="V1619" i="31" a="1"/>
  <c r="V1619" i="31"/>
  <c r="U1618" i="31" a="1"/>
  <c r="U1618" i="31"/>
  <c r="W1618" i="31" a="1"/>
  <c r="W1618" i="31"/>
  <c r="V1618" i="31" a="1"/>
  <c r="V1618" i="31"/>
  <c r="U1617" i="31" a="1"/>
  <c r="U1617" i="31"/>
  <c r="W1617" i="31" a="1"/>
  <c r="W1617" i="31"/>
  <c r="V1617" i="31" a="1"/>
  <c r="V1617" i="31"/>
  <c r="U1616" i="31" a="1"/>
  <c r="U1616" i="31"/>
  <c r="W1616" i="31" a="1"/>
  <c r="W1616" i="31"/>
  <c r="V1616" i="31" a="1"/>
  <c r="V1616" i="31"/>
  <c r="U1615" i="31" a="1"/>
  <c r="U1615" i="31"/>
  <c r="W1615" i="31" a="1"/>
  <c r="W1615" i="31"/>
  <c r="V1615" i="31" a="1"/>
  <c r="V1615" i="31"/>
  <c r="U1614" i="31" a="1"/>
  <c r="U1614" i="31"/>
  <c r="W1614" i="31" a="1"/>
  <c r="W1614" i="31"/>
  <c r="V1614" i="31" a="1"/>
  <c r="V1614" i="31"/>
  <c r="U1613" i="31" a="1"/>
  <c r="U1613" i="31"/>
  <c r="W1613" i="31" a="1"/>
  <c r="W1613" i="31"/>
  <c r="V1613" i="31" a="1"/>
  <c r="V1613" i="31"/>
  <c r="U1612" i="31" a="1"/>
  <c r="U1612" i="31"/>
  <c r="W1612" i="31" a="1"/>
  <c r="W1612" i="31"/>
  <c r="V1612" i="31" a="1"/>
  <c r="V1612" i="31"/>
  <c r="U1611" i="31" a="1"/>
  <c r="U1611" i="31"/>
  <c r="W1611" i="31" a="1"/>
  <c r="W1611" i="31"/>
  <c r="V1611" i="31" a="1"/>
  <c r="V1611" i="31"/>
  <c r="U1610" i="31" a="1"/>
  <c r="U1610" i="31"/>
  <c r="W1610" i="31" a="1"/>
  <c r="W1610" i="31"/>
  <c r="V1610" i="31" a="1"/>
  <c r="V1610" i="31"/>
  <c r="U1609" i="31" a="1"/>
  <c r="U1609" i="31"/>
  <c r="W1609" i="31" a="1"/>
  <c r="W1609" i="31"/>
  <c r="V1609" i="31" a="1"/>
  <c r="V1609" i="31"/>
  <c r="U1608" i="31" a="1"/>
  <c r="U1608" i="31"/>
  <c r="W1608" i="31" a="1"/>
  <c r="W1608" i="31"/>
  <c r="V1608" i="31" a="1"/>
  <c r="V1608" i="31"/>
  <c r="U1607" i="31" a="1"/>
  <c r="U1607" i="31"/>
  <c r="W1607" i="31" a="1"/>
  <c r="W1607" i="31"/>
  <c r="V1607" i="31" a="1"/>
  <c r="V1607" i="31"/>
  <c r="U1606" i="31" a="1"/>
  <c r="U1606" i="31"/>
  <c r="W1606" i="31" a="1"/>
  <c r="W1606" i="31"/>
  <c r="V1606" i="31" a="1"/>
  <c r="V1606" i="31"/>
  <c r="U1605" i="31" a="1"/>
  <c r="U1605" i="31"/>
  <c r="W1605" i="31" a="1"/>
  <c r="W1605" i="31"/>
  <c r="V1605" i="31" a="1"/>
  <c r="V1605" i="31"/>
  <c r="U1604" i="31" a="1"/>
  <c r="U1604" i="31"/>
  <c r="W1604" i="31" a="1"/>
  <c r="W1604" i="31"/>
  <c r="V1604" i="31" a="1"/>
  <c r="V1604" i="31"/>
  <c r="U1603" i="31" a="1"/>
  <c r="U1603" i="31"/>
  <c r="W1603" i="31" a="1"/>
  <c r="W1603" i="31"/>
  <c r="V1603" i="31" a="1"/>
  <c r="V1603" i="31"/>
  <c r="U1602" i="31" a="1"/>
  <c r="U1602" i="31"/>
  <c r="W1602" i="31" a="1"/>
  <c r="W1602" i="31"/>
  <c r="V1602" i="31" a="1"/>
  <c r="V1602" i="31"/>
  <c r="U1601" i="31" a="1"/>
  <c r="U1601" i="31"/>
  <c r="W1601" i="31" a="1"/>
  <c r="W1601" i="31"/>
  <c r="V1601" i="31" a="1"/>
  <c r="V1601" i="31"/>
  <c r="U1600" i="31" a="1"/>
  <c r="U1600" i="31"/>
  <c r="W1600" i="31" a="1"/>
  <c r="W1600" i="31"/>
  <c r="V1600" i="31" a="1"/>
  <c r="V1600" i="31"/>
  <c r="U1599" i="31" a="1"/>
  <c r="U1599" i="31"/>
  <c r="W1599" i="31" a="1"/>
  <c r="W1599" i="31"/>
  <c r="V1599" i="31" a="1"/>
  <c r="V1599" i="31"/>
  <c r="U1598" i="31" a="1"/>
  <c r="U1598" i="31"/>
  <c r="W1598" i="31" a="1"/>
  <c r="W1598" i="31"/>
  <c r="V1598" i="31" a="1"/>
  <c r="V1598" i="31"/>
  <c r="U1597" i="31" a="1"/>
  <c r="U1597" i="31"/>
  <c r="W1597" i="31" a="1"/>
  <c r="W1597" i="31"/>
  <c r="V1597" i="31" a="1"/>
  <c r="V1597" i="31"/>
  <c r="U1596" i="31" a="1"/>
  <c r="U1596" i="31"/>
  <c r="W1596" i="31" a="1"/>
  <c r="W1596" i="31"/>
  <c r="V1596" i="31" a="1"/>
  <c r="V1596" i="31"/>
  <c r="U1595" i="31" a="1"/>
  <c r="U1595" i="31"/>
  <c r="W1595" i="31" a="1"/>
  <c r="W1595" i="31"/>
  <c r="V1595" i="31" a="1"/>
  <c r="V1595" i="31"/>
  <c r="U1594" i="31" a="1"/>
  <c r="U1594" i="31"/>
  <c r="W1594" i="31" a="1"/>
  <c r="W1594" i="31"/>
  <c r="V1594" i="31" a="1"/>
  <c r="V1594" i="31"/>
  <c r="U1593" i="31" a="1"/>
  <c r="U1593" i="31"/>
  <c r="W1593" i="31" a="1"/>
  <c r="W1593" i="31"/>
  <c r="V1593" i="31" a="1"/>
  <c r="V1593" i="31"/>
  <c r="U1592" i="31" a="1"/>
  <c r="U1592" i="31"/>
  <c r="W1592" i="31" a="1"/>
  <c r="W1592" i="31"/>
  <c r="V1592" i="31" a="1"/>
  <c r="V1592" i="31"/>
  <c r="U1591" i="31" a="1"/>
  <c r="U1591" i="31"/>
  <c r="W1591" i="31" a="1"/>
  <c r="W1591" i="31"/>
  <c r="V1591" i="31" a="1"/>
  <c r="V1591" i="31"/>
  <c r="U1590" i="31" a="1"/>
  <c r="U1590" i="31"/>
  <c r="W1590" i="31" a="1"/>
  <c r="W1590" i="31"/>
  <c r="V1590" i="31" a="1"/>
  <c r="V1590" i="31"/>
  <c r="U1589" i="31" a="1"/>
  <c r="U1589" i="31"/>
  <c r="W1589" i="31" a="1"/>
  <c r="W1589" i="31"/>
  <c r="V1589" i="31" a="1"/>
  <c r="V1589" i="31"/>
  <c r="U1588" i="31" a="1"/>
  <c r="U1588" i="31"/>
  <c r="W1588" i="31" a="1"/>
  <c r="W1588" i="31"/>
  <c r="V1588" i="31" a="1"/>
  <c r="V1588" i="31"/>
  <c r="U1587" i="31" a="1"/>
  <c r="U1587" i="31"/>
  <c r="W1587" i="31" a="1"/>
  <c r="W1587" i="31"/>
  <c r="V1587" i="31" a="1"/>
  <c r="V1587" i="31"/>
  <c r="U1586" i="31" a="1"/>
  <c r="U1586" i="31"/>
  <c r="W1586" i="31" a="1"/>
  <c r="W1586" i="31"/>
  <c r="V1586" i="31" a="1"/>
  <c r="V1586" i="31"/>
  <c r="U1585" i="31" a="1"/>
  <c r="U1585" i="31"/>
  <c r="W1585" i="31" a="1"/>
  <c r="W1585" i="31"/>
  <c r="V1585" i="31" a="1"/>
  <c r="V1585" i="31"/>
  <c r="U1584" i="31" a="1"/>
  <c r="U1584" i="31"/>
  <c r="W1584" i="31" a="1"/>
  <c r="W1584" i="31"/>
  <c r="V1584" i="31" a="1"/>
  <c r="V1584" i="31"/>
  <c r="U1583" i="31" a="1"/>
  <c r="U1583" i="31"/>
  <c r="W1583" i="31" a="1"/>
  <c r="W1583" i="31"/>
  <c r="V1583" i="31" a="1"/>
  <c r="V1583" i="31"/>
  <c r="U1582" i="31" a="1"/>
  <c r="U1582" i="31"/>
  <c r="W1582" i="31" a="1"/>
  <c r="W1582" i="31"/>
  <c r="V1582" i="31" a="1"/>
  <c r="V1582" i="31"/>
  <c r="U1581" i="31" a="1"/>
  <c r="U1581" i="31"/>
  <c r="W1581" i="31" a="1"/>
  <c r="W1581" i="31"/>
  <c r="V1581" i="31" a="1"/>
  <c r="V1581" i="31"/>
  <c r="U1580" i="31" a="1"/>
  <c r="U1580" i="31"/>
  <c r="W1580" i="31" a="1"/>
  <c r="W1580" i="31"/>
  <c r="V1580" i="31" a="1"/>
  <c r="V1580" i="31"/>
  <c r="U1579" i="31" a="1"/>
  <c r="U1579" i="31"/>
  <c r="W1579" i="31" a="1"/>
  <c r="W1579" i="31"/>
  <c r="V1579" i="31" a="1"/>
  <c r="V1579" i="31"/>
  <c r="U1578" i="31" a="1"/>
  <c r="U1578" i="31"/>
  <c r="W1578" i="31" a="1"/>
  <c r="W1578" i="31"/>
  <c r="V1578" i="31" a="1"/>
  <c r="V1578" i="31"/>
  <c r="U1577" i="31" a="1"/>
  <c r="U1577" i="31"/>
  <c r="W1577" i="31" a="1"/>
  <c r="W1577" i="31"/>
  <c r="V1577" i="31" a="1"/>
  <c r="V1577" i="31"/>
  <c r="U1576" i="31" a="1"/>
  <c r="U1576" i="31"/>
  <c r="W1576" i="31" a="1"/>
  <c r="W1576" i="31"/>
  <c r="V1576" i="31" a="1"/>
  <c r="V1576" i="31"/>
  <c r="U1575" i="31" a="1"/>
  <c r="U1575" i="31"/>
  <c r="W1575" i="31" a="1"/>
  <c r="W1575" i="31"/>
  <c r="V1575" i="31" a="1"/>
  <c r="V1575" i="31"/>
  <c r="U1574" i="31" a="1"/>
  <c r="U1574" i="31"/>
  <c r="W1574" i="31" a="1"/>
  <c r="W1574" i="31"/>
  <c r="V1574" i="31" a="1"/>
  <c r="V1574" i="31"/>
  <c r="U1573" i="31" a="1"/>
  <c r="U1573" i="31"/>
  <c r="W1573" i="31" a="1"/>
  <c r="W1573" i="31"/>
  <c r="V1573" i="31" a="1"/>
  <c r="V1573" i="31"/>
  <c r="U1572" i="31" a="1"/>
  <c r="U1572" i="31"/>
  <c r="W1572" i="31" a="1"/>
  <c r="W1572" i="31"/>
  <c r="V1572" i="31" a="1"/>
  <c r="V1572" i="31"/>
  <c r="U1571" i="31" a="1"/>
  <c r="U1571" i="31"/>
  <c r="W1571" i="31" a="1"/>
  <c r="W1571" i="31"/>
  <c r="V1571" i="31" a="1"/>
  <c r="V1571" i="31"/>
  <c r="U1570" i="31" a="1"/>
  <c r="U1570" i="31"/>
  <c r="W1570" i="31" a="1"/>
  <c r="W1570" i="31"/>
  <c r="V1570" i="31" a="1"/>
  <c r="V1570" i="31"/>
  <c r="U1569" i="31" a="1"/>
  <c r="U1569" i="31"/>
  <c r="W1569" i="31" a="1"/>
  <c r="W1569" i="31"/>
  <c r="V1569" i="31" a="1"/>
  <c r="V1569" i="31"/>
  <c r="U1568" i="31" a="1"/>
  <c r="U1568" i="31"/>
  <c r="W1568" i="31" a="1"/>
  <c r="W1568" i="31"/>
  <c r="V1568" i="31" a="1"/>
  <c r="V1568" i="31"/>
  <c r="U1567" i="31" a="1"/>
  <c r="U1567" i="31"/>
  <c r="W1567" i="31" a="1"/>
  <c r="W1567" i="31"/>
  <c r="V1567" i="31" a="1"/>
  <c r="V1567" i="31"/>
  <c r="U1566" i="31" a="1"/>
  <c r="U1566" i="31"/>
  <c r="W1566" i="31" a="1"/>
  <c r="W1566" i="31"/>
  <c r="V1566" i="31" a="1"/>
  <c r="V1566" i="31"/>
  <c r="U1565" i="31" a="1"/>
  <c r="U1565" i="31"/>
  <c r="W1565" i="31" a="1"/>
  <c r="W1565" i="31"/>
  <c r="V1565" i="31" a="1"/>
  <c r="V1565" i="31"/>
  <c r="U1564" i="31" a="1"/>
  <c r="U1564" i="31"/>
  <c r="W1564" i="31" a="1"/>
  <c r="W1564" i="31"/>
  <c r="V1564" i="31" a="1"/>
  <c r="V1564" i="31"/>
  <c r="U1563" i="31" a="1"/>
  <c r="U1563" i="31"/>
  <c r="W1563" i="31" a="1"/>
  <c r="W1563" i="31"/>
  <c r="V1563" i="31" a="1"/>
  <c r="V1563" i="31"/>
  <c r="U1562" i="31" a="1"/>
  <c r="U1562" i="31"/>
  <c r="W1562" i="31" a="1"/>
  <c r="W1562" i="31"/>
  <c r="V1562" i="31" a="1"/>
  <c r="V1562" i="31"/>
  <c r="U1561" i="31" a="1"/>
  <c r="U1561" i="31"/>
  <c r="W1561" i="31" a="1"/>
  <c r="W1561" i="31"/>
  <c r="V1561" i="31" a="1"/>
  <c r="V1561" i="31"/>
  <c r="U1560" i="31" a="1"/>
  <c r="U1560" i="31"/>
  <c r="W1560" i="31" a="1"/>
  <c r="W1560" i="31"/>
  <c r="V1560" i="31" a="1"/>
  <c r="V1560" i="31"/>
  <c r="U1559" i="31" a="1"/>
  <c r="U1559" i="31"/>
  <c r="W1559" i="31" a="1"/>
  <c r="W1559" i="31"/>
  <c r="V1559" i="31" a="1"/>
  <c r="V1559" i="31"/>
  <c r="U1558" i="31" a="1"/>
  <c r="U1558" i="31"/>
  <c r="W1558" i="31" a="1"/>
  <c r="W1558" i="31"/>
  <c r="V1558" i="31" a="1"/>
  <c r="V1558" i="31"/>
  <c r="U1557" i="31" a="1"/>
  <c r="U1557" i="31"/>
  <c r="W1557" i="31" a="1"/>
  <c r="W1557" i="31"/>
  <c r="V1557" i="31" a="1"/>
  <c r="V1557" i="31"/>
  <c r="U1556" i="31" a="1"/>
  <c r="U1556" i="31"/>
  <c r="W1556" i="31" a="1"/>
  <c r="W1556" i="31"/>
  <c r="V1556" i="31" a="1"/>
  <c r="V1556" i="31"/>
  <c r="U1555" i="31" a="1"/>
  <c r="U1555" i="31"/>
  <c r="W1555" i="31" a="1"/>
  <c r="W1555" i="31"/>
  <c r="V1555" i="31" a="1"/>
  <c r="V1555" i="31"/>
  <c r="U1554" i="31" a="1"/>
  <c r="U1554" i="31"/>
  <c r="W1554" i="31" a="1"/>
  <c r="W1554" i="31"/>
  <c r="V1554" i="31" a="1"/>
  <c r="V1554" i="31"/>
  <c r="U1553" i="31" a="1"/>
  <c r="U1553" i="31"/>
  <c r="W1553" i="31" a="1"/>
  <c r="W1553" i="31"/>
  <c r="V1553" i="31" a="1"/>
  <c r="V1553" i="31"/>
  <c r="U1552" i="31" a="1"/>
  <c r="U1552" i="31"/>
  <c r="W1552" i="31" a="1"/>
  <c r="W1552" i="31"/>
  <c r="V1552" i="31" a="1"/>
  <c r="V1552" i="31"/>
  <c r="U1551" i="31" a="1"/>
  <c r="U1551" i="31"/>
  <c r="W1551" i="31" a="1"/>
  <c r="W1551" i="31"/>
  <c r="V1551" i="31" a="1"/>
  <c r="V1551" i="31"/>
  <c r="U1550" i="31" a="1"/>
  <c r="U1550" i="31"/>
  <c r="W1550" i="31" a="1"/>
  <c r="W1550" i="31"/>
  <c r="V1550" i="31" a="1"/>
  <c r="V1550" i="31"/>
  <c r="U1549" i="31" a="1"/>
  <c r="U1549" i="31"/>
  <c r="W1549" i="31" a="1"/>
  <c r="W1549" i="31"/>
  <c r="V1549" i="31" a="1"/>
  <c r="V1549" i="31"/>
  <c r="U1548" i="31" a="1"/>
  <c r="U1548" i="31"/>
  <c r="W1548" i="31" a="1"/>
  <c r="W1548" i="31"/>
  <c r="V1548" i="31" a="1"/>
  <c r="V1548" i="31"/>
  <c r="U1547" i="31" a="1"/>
  <c r="U1547" i="31"/>
  <c r="W1547" i="31" a="1"/>
  <c r="W1547" i="31"/>
  <c r="V1547" i="31" a="1"/>
  <c r="V1547" i="31"/>
  <c r="U1546" i="31" a="1"/>
  <c r="U1546" i="31"/>
  <c r="W1546" i="31" a="1"/>
  <c r="W1546" i="31"/>
  <c r="V1546" i="31" a="1"/>
  <c r="V1546" i="31"/>
  <c r="U1545" i="31" a="1"/>
  <c r="U1545" i="31"/>
  <c r="W1545" i="31" a="1"/>
  <c r="W1545" i="31"/>
  <c r="V1545" i="31" a="1"/>
  <c r="V1545" i="31"/>
  <c r="U1544" i="31" a="1"/>
  <c r="U1544" i="31"/>
  <c r="W1544" i="31" a="1"/>
  <c r="W1544" i="31"/>
  <c r="V1544" i="31" a="1"/>
  <c r="V1544" i="31"/>
  <c r="U1543" i="31" a="1"/>
  <c r="U1543" i="31"/>
  <c r="W1543" i="31" a="1"/>
  <c r="W1543" i="31"/>
  <c r="V1543" i="31" a="1"/>
  <c r="V1543" i="31"/>
  <c r="U1542" i="31" a="1"/>
  <c r="U1542" i="31"/>
  <c r="W1542" i="31" a="1"/>
  <c r="W1542" i="31"/>
  <c r="V1542" i="31" a="1"/>
  <c r="V1542" i="31"/>
  <c r="U1541" i="31" a="1"/>
  <c r="U1541" i="31"/>
  <c r="W1541" i="31" a="1"/>
  <c r="W1541" i="31"/>
  <c r="V1541" i="31" a="1"/>
  <c r="V1541" i="31"/>
  <c r="U1540" i="31" a="1"/>
  <c r="U1540" i="31"/>
  <c r="W1540" i="31" a="1"/>
  <c r="W1540" i="31"/>
  <c r="V1540" i="31" a="1"/>
  <c r="V1540" i="31"/>
  <c r="U1539" i="31" a="1"/>
  <c r="U1539" i="31"/>
  <c r="W1539" i="31" a="1"/>
  <c r="W1539" i="31"/>
  <c r="V1539" i="31" a="1"/>
  <c r="V1539" i="31"/>
  <c r="U1538" i="31" a="1"/>
  <c r="U1538" i="31"/>
  <c r="W1538" i="31" a="1"/>
  <c r="W1538" i="31"/>
  <c r="V1538" i="31" a="1"/>
  <c r="V1538" i="31"/>
  <c r="U1537" i="31" a="1"/>
  <c r="U1537" i="31"/>
  <c r="W1537" i="31" a="1"/>
  <c r="W1537" i="31"/>
  <c r="V1537" i="31" a="1"/>
  <c r="V1537" i="31"/>
  <c r="U1536" i="31" a="1"/>
  <c r="U1536" i="31"/>
  <c r="W1536" i="31" a="1"/>
  <c r="W1536" i="31"/>
  <c r="V1536" i="31" a="1"/>
  <c r="V1536" i="31"/>
  <c r="U1535" i="31" a="1"/>
  <c r="U1535" i="31"/>
  <c r="W1535" i="31" a="1"/>
  <c r="W1535" i="31"/>
  <c r="V1535" i="31" a="1"/>
  <c r="V1535" i="31"/>
  <c r="U1534" i="31" a="1"/>
  <c r="U1534" i="31"/>
  <c r="W1534" i="31" a="1"/>
  <c r="W1534" i="31"/>
  <c r="V1534" i="31" a="1"/>
  <c r="V1534" i="31"/>
  <c r="U1533" i="31" a="1"/>
  <c r="U1533" i="31"/>
  <c r="W1533" i="31" a="1"/>
  <c r="W1533" i="31"/>
  <c r="V1533" i="31" a="1"/>
  <c r="V1533" i="31"/>
  <c r="U1532" i="31" a="1"/>
  <c r="U1532" i="31"/>
  <c r="W1532" i="31" a="1"/>
  <c r="W1532" i="31"/>
  <c r="V1532" i="31" a="1"/>
  <c r="V1532" i="31"/>
  <c r="U1531" i="31" a="1"/>
  <c r="U1531" i="31"/>
  <c r="W1531" i="31" a="1"/>
  <c r="W1531" i="31"/>
  <c r="V1531" i="31" a="1"/>
  <c r="V1531" i="31"/>
  <c r="U1530" i="31" a="1"/>
  <c r="U1530" i="31"/>
  <c r="W1530" i="31" a="1"/>
  <c r="W1530" i="31"/>
  <c r="V1530" i="31" a="1"/>
  <c r="V1530" i="31"/>
  <c r="U1529" i="31" a="1"/>
  <c r="U1529" i="31"/>
  <c r="W1529" i="31" a="1"/>
  <c r="W1529" i="31"/>
  <c r="V1529" i="31" a="1"/>
  <c r="V1529" i="31"/>
  <c r="U1528" i="31" a="1"/>
  <c r="U1528" i="31"/>
  <c r="W1528" i="31" a="1"/>
  <c r="W1528" i="31"/>
  <c r="V1528" i="31" a="1"/>
  <c r="V1528" i="31"/>
  <c r="U1527" i="31" a="1"/>
  <c r="U1527" i="31"/>
  <c r="W1527" i="31" a="1"/>
  <c r="W1527" i="31"/>
  <c r="V1527" i="31" a="1"/>
  <c r="V1527" i="31"/>
  <c r="U1526" i="31" a="1"/>
  <c r="U1526" i="31"/>
  <c r="W1526" i="31" a="1"/>
  <c r="W1526" i="31"/>
  <c r="V1526" i="31" a="1"/>
  <c r="V1526" i="31"/>
  <c r="U1525" i="31" a="1"/>
  <c r="U1525" i="31"/>
  <c r="W1525" i="31" a="1"/>
  <c r="W1525" i="31"/>
  <c r="V1525" i="31" a="1"/>
  <c r="V1525" i="31"/>
  <c r="U1524" i="31" a="1"/>
  <c r="U1524" i="31"/>
  <c r="W1524" i="31" a="1"/>
  <c r="W1524" i="31"/>
  <c r="V1524" i="31" a="1"/>
  <c r="V1524" i="31"/>
  <c r="U1523" i="31" a="1"/>
  <c r="U1523" i="31"/>
  <c r="W1523" i="31" a="1"/>
  <c r="W1523" i="31"/>
  <c r="V1523" i="31" a="1"/>
  <c r="V1523" i="31"/>
  <c r="U1522" i="31" a="1"/>
  <c r="U1522" i="31"/>
  <c r="W1522" i="31" a="1"/>
  <c r="W1522" i="31"/>
  <c r="V1522" i="31" a="1"/>
  <c r="V1522" i="31"/>
  <c r="U1521" i="31" a="1"/>
  <c r="U1521" i="31"/>
  <c r="W1521" i="31" a="1"/>
  <c r="W1521" i="31"/>
  <c r="V1521" i="31" a="1"/>
  <c r="V1521" i="31"/>
  <c r="U1520" i="31" a="1"/>
  <c r="U1520" i="31"/>
  <c r="W1520" i="31" a="1"/>
  <c r="W1520" i="31"/>
  <c r="V1520" i="31" a="1"/>
  <c r="V1520" i="31"/>
  <c r="U1519" i="31" a="1"/>
  <c r="U1519" i="31"/>
  <c r="W1519" i="31" a="1"/>
  <c r="W1519" i="31"/>
  <c r="V1519" i="31" a="1"/>
  <c r="V1519" i="31"/>
  <c r="U1518" i="31" a="1"/>
  <c r="U1518" i="31"/>
  <c r="W1518" i="31" a="1"/>
  <c r="W1518" i="31"/>
  <c r="V1518" i="31" a="1"/>
  <c r="V1518" i="31"/>
  <c r="U1517" i="31" a="1"/>
  <c r="U1517" i="31"/>
  <c r="W1517" i="31" a="1"/>
  <c r="W1517" i="31"/>
  <c r="V1517" i="31" a="1"/>
  <c r="V1517" i="31"/>
  <c r="U1516" i="31" a="1"/>
  <c r="U1516" i="31"/>
  <c r="W1516" i="31" a="1"/>
  <c r="W1516" i="31"/>
  <c r="V1516" i="31" a="1"/>
  <c r="V1516" i="31"/>
  <c r="U1515" i="31" a="1"/>
  <c r="U1515" i="31"/>
  <c r="W1515" i="31" a="1"/>
  <c r="W1515" i="31"/>
  <c r="V1515" i="31" a="1"/>
  <c r="V1515" i="31"/>
  <c r="U1514" i="31" a="1"/>
  <c r="U1514" i="31"/>
  <c r="W1514" i="31" a="1"/>
  <c r="W1514" i="31"/>
  <c r="V1514" i="31" a="1"/>
  <c r="V1514" i="31"/>
  <c r="U1513" i="31" a="1"/>
  <c r="U1513" i="31"/>
  <c r="W1513" i="31" a="1"/>
  <c r="W1513" i="31"/>
  <c r="V1513" i="31" a="1"/>
  <c r="V1513" i="31"/>
  <c r="U1512" i="31" a="1"/>
  <c r="U1512" i="31"/>
  <c r="W1512" i="31" a="1"/>
  <c r="W1512" i="31"/>
  <c r="V1512" i="31" a="1"/>
  <c r="V1512" i="31"/>
  <c r="U1511" i="31" a="1"/>
  <c r="U1511" i="31"/>
  <c r="W1511" i="31" a="1"/>
  <c r="W1511" i="31"/>
  <c r="V1511" i="31" a="1"/>
  <c r="V1511" i="31"/>
  <c r="U1510" i="31" a="1"/>
  <c r="U1510" i="31"/>
  <c r="W1510" i="31" a="1"/>
  <c r="W1510" i="31"/>
  <c r="V1510" i="31" a="1"/>
  <c r="V1510" i="31"/>
  <c r="U1509" i="31" a="1"/>
  <c r="U1509" i="31"/>
  <c r="W1509" i="31" a="1"/>
  <c r="W1509" i="31"/>
  <c r="V1509" i="31" a="1"/>
  <c r="V1509" i="31"/>
  <c r="U1508" i="31" a="1"/>
  <c r="U1508" i="31"/>
  <c r="W1508" i="31" a="1"/>
  <c r="W1508" i="31"/>
  <c r="V1508" i="31" a="1"/>
  <c r="V1508" i="31"/>
  <c r="U1507" i="31" a="1"/>
  <c r="U1507" i="31"/>
  <c r="W1507" i="31" a="1"/>
  <c r="W1507" i="31"/>
  <c r="V1507" i="31" a="1"/>
  <c r="V1507" i="31"/>
  <c r="U1506" i="31" a="1"/>
  <c r="U1506" i="31"/>
  <c r="W1506" i="31" a="1"/>
  <c r="W1506" i="31"/>
  <c r="V1506" i="31" a="1"/>
  <c r="V1506" i="31"/>
  <c r="U1505" i="31" a="1"/>
  <c r="U1505" i="31"/>
  <c r="W1505" i="31" a="1"/>
  <c r="W1505" i="31"/>
  <c r="V1505" i="31" a="1"/>
  <c r="V1505" i="31"/>
  <c r="U1504" i="31" a="1"/>
  <c r="U1504" i="31"/>
  <c r="W1504" i="31" a="1"/>
  <c r="W1504" i="31"/>
  <c r="V1504" i="31" a="1"/>
  <c r="V1504" i="31"/>
  <c r="U1503" i="31" a="1"/>
  <c r="U1503" i="31"/>
  <c r="W1503" i="31" a="1"/>
  <c r="W1503" i="31"/>
  <c r="V1503" i="31" a="1"/>
  <c r="V1503" i="31"/>
  <c r="U1502" i="31" a="1"/>
  <c r="U1502" i="31"/>
  <c r="W1502" i="31" a="1"/>
  <c r="W1502" i="31"/>
  <c r="V1502" i="31" a="1"/>
  <c r="V1502" i="31"/>
  <c r="U1501" i="31" a="1"/>
  <c r="U1501" i="31"/>
  <c r="W1501" i="31" a="1"/>
  <c r="W1501" i="31"/>
  <c r="V1501" i="31" a="1"/>
  <c r="V1501" i="31"/>
  <c r="U1500" i="31" a="1"/>
  <c r="U1500" i="31"/>
  <c r="W1500" i="31" a="1"/>
  <c r="W1500" i="31"/>
  <c r="V1500" i="31" a="1"/>
  <c r="V1500" i="31"/>
  <c r="U1499" i="31" a="1"/>
  <c r="U1499" i="31"/>
  <c r="W1499" i="31" a="1"/>
  <c r="W1499" i="31"/>
  <c r="V1499" i="31" a="1"/>
  <c r="V1499" i="31"/>
  <c r="U1498" i="31" a="1"/>
  <c r="U1498" i="31"/>
  <c r="W1498" i="31" a="1"/>
  <c r="W1498" i="31"/>
  <c r="V1498" i="31" a="1"/>
  <c r="V1498" i="31"/>
  <c r="U1497" i="31" a="1"/>
  <c r="U1497" i="31"/>
  <c r="W1497" i="31" a="1"/>
  <c r="W1497" i="31"/>
  <c r="V1497" i="31" a="1"/>
  <c r="V1497" i="31"/>
  <c r="U1496" i="31" a="1"/>
  <c r="U1496" i="31"/>
  <c r="W1496" i="31" a="1"/>
  <c r="W1496" i="31"/>
  <c r="V1496" i="31" a="1"/>
  <c r="V1496" i="31"/>
  <c r="U1495" i="31" a="1"/>
  <c r="U1495" i="31"/>
  <c r="W1495" i="31" a="1"/>
  <c r="W1495" i="31"/>
  <c r="V1495" i="31" a="1"/>
  <c r="V1495" i="31"/>
  <c r="U1494" i="31" a="1"/>
  <c r="U1494" i="31"/>
  <c r="W1494" i="31" a="1"/>
  <c r="W1494" i="31"/>
  <c r="V1494" i="31" a="1"/>
  <c r="V1494" i="31"/>
  <c r="U1493" i="31" a="1"/>
  <c r="U1493" i="31"/>
  <c r="W1493" i="31" a="1"/>
  <c r="W1493" i="31"/>
  <c r="V1493" i="31" a="1"/>
  <c r="V1493" i="31"/>
  <c r="U1492" i="31" a="1"/>
  <c r="U1492" i="31"/>
  <c r="W1492" i="31" a="1"/>
  <c r="W1492" i="31"/>
  <c r="V1492" i="31" a="1"/>
  <c r="V1492" i="31"/>
  <c r="U1491" i="31" a="1"/>
  <c r="U1491" i="31"/>
  <c r="W1491" i="31" a="1"/>
  <c r="W1491" i="31"/>
  <c r="V1491" i="31" a="1"/>
  <c r="V1491" i="31"/>
  <c r="U1490" i="31" a="1"/>
  <c r="U1490" i="31"/>
  <c r="W1490" i="31" a="1"/>
  <c r="W1490" i="31"/>
  <c r="V1490" i="31" a="1"/>
  <c r="V1490" i="31"/>
  <c r="U1489" i="31" a="1"/>
  <c r="U1489" i="31"/>
  <c r="W1489" i="31" a="1"/>
  <c r="W1489" i="31"/>
  <c r="V1489" i="31" a="1"/>
  <c r="V1489" i="31"/>
  <c r="U1488" i="31" a="1"/>
  <c r="U1488" i="31"/>
  <c r="W1488" i="31" a="1"/>
  <c r="W1488" i="31"/>
  <c r="V1488" i="31" a="1"/>
  <c r="V1488" i="31"/>
  <c r="U1487" i="31" a="1"/>
  <c r="U1487" i="31"/>
  <c r="W1487" i="31" a="1"/>
  <c r="W1487" i="31"/>
  <c r="V1487" i="31" a="1"/>
  <c r="V1487" i="31"/>
  <c r="U1486" i="31" a="1"/>
  <c r="U1486" i="31"/>
  <c r="W1486" i="31" a="1"/>
  <c r="W1486" i="31"/>
  <c r="V1486" i="31" a="1"/>
  <c r="V1486" i="31"/>
  <c r="U1485" i="31" a="1"/>
  <c r="U1485" i="31"/>
  <c r="W1485" i="31" a="1"/>
  <c r="W1485" i="31"/>
  <c r="V1485" i="31" a="1"/>
  <c r="V1485" i="31"/>
  <c r="U1484" i="31" a="1"/>
  <c r="U1484" i="31"/>
  <c r="W1484" i="31" a="1"/>
  <c r="W1484" i="31"/>
  <c r="V1484" i="31" a="1"/>
  <c r="V1484" i="31"/>
  <c r="U1483" i="31" a="1"/>
  <c r="U1483" i="31"/>
  <c r="W1483" i="31" a="1"/>
  <c r="W1483" i="31"/>
  <c r="V1483" i="31" a="1"/>
  <c r="V1483" i="31"/>
  <c r="U1482" i="31" a="1"/>
  <c r="U1482" i="31"/>
  <c r="W1482" i="31" a="1"/>
  <c r="W1482" i="31"/>
  <c r="V1482" i="31" a="1"/>
  <c r="V1482" i="31"/>
  <c r="U1481" i="31" a="1"/>
  <c r="U1481" i="31"/>
  <c r="W1481" i="31" a="1"/>
  <c r="W1481" i="31"/>
  <c r="V1481" i="31" a="1"/>
  <c r="V1481" i="31"/>
  <c r="U1480" i="31" a="1"/>
  <c r="U1480" i="31"/>
  <c r="W1480" i="31" a="1"/>
  <c r="W1480" i="31"/>
  <c r="V1480" i="31" a="1"/>
  <c r="V1480" i="31"/>
  <c r="U1479" i="31" a="1"/>
  <c r="U1479" i="31"/>
  <c r="W1479" i="31" a="1"/>
  <c r="W1479" i="31"/>
  <c r="V1479" i="31" a="1"/>
  <c r="V1479" i="31"/>
  <c r="U1478" i="31" a="1"/>
  <c r="U1478" i="31"/>
  <c r="W1478" i="31" a="1"/>
  <c r="W1478" i="31"/>
  <c r="V1478" i="31" a="1"/>
  <c r="V1478" i="31"/>
  <c r="U1477" i="31" a="1"/>
  <c r="U1477" i="31"/>
  <c r="W1477" i="31" a="1"/>
  <c r="W1477" i="31"/>
  <c r="V1477" i="31" a="1"/>
  <c r="V1477" i="31"/>
  <c r="U1476" i="31" a="1"/>
  <c r="U1476" i="31"/>
  <c r="W1476" i="31" a="1"/>
  <c r="W1476" i="31"/>
  <c r="V1476" i="31" a="1"/>
  <c r="V1476" i="31"/>
  <c r="U1475" i="31" a="1"/>
  <c r="U1475" i="31"/>
  <c r="W1475" i="31" a="1"/>
  <c r="W1475" i="31"/>
  <c r="V1475" i="31" a="1"/>
  <c r="V1475" i="31"/>
  <c r="U1474" i="31" a="1"/>
  <c r="U1474" i="31"/>
  <c r="W1474" i="31" a="1"/>
  <c r="W1474" i="31"/>
  <c r="V1474" i="31" a="1"/>
  <c r="V1474" i="31"/>
  <c r="U1473" i="31" a="1"/>
  <c r="U1473" i="31"/>
  <c r="W1473" i="31" a="1"/>
  <c r="W1473" i="31"/>
  <c r="V1473" i="31" a="1"/>
  <c r="V1473" i="31"/>
  <c r="U1472" i="31" a="1"/>
  <c r="U1472" i="31"/>
  <c r="W1472" i="31" a="1"/>
  <c r="W1472" i="31"/>
  <c r="V1472" i="31" a="1"/>
  <c r="V1472" i="31"/>
  <c r="U1471" i="31" a="1"/>
  <c r="U1471" i="31"/>
  <c r="W1471" i="31" a="1"/>
  <c r="W1471" i="31"/>
  <c r="V1471" i="31" a="1"/>
  <c r="V1471" i="31"/>
  <c r="U1470" i="31" a="1"/>
  <c r="U1470" i="31"/>
  <c r="W1470" i="31" a="1"/>
  <c r="W1470" i="31"/>
  <c r="V1470" i="31" a="1"/>
  <c r="V1470" i="31"/>
  <c r="U1469" i="31" a="1"/>
  <c r="U1469" i="31"/>
  <c r="W1469" i="31" a="1"/>
  <c r="W1469" i="31"/>
  <c r="V1469" i="31" a="1"/>
  <c r="V1469" i="31"/>
  <c r="U1468" i="31" a="1"/>
  <c r="U1468" i="31"/>
  <c r="W1468" i="31" a="1"/>
  <c r="W1468" i="31"/>
  <c r="V1468" i="31" a="1"/>
  <c r="V1468" i="31"/>
  <c r="U1467" i="31" a="1"/>
  <c r="U1467" i="31"/>
  <c r="W1467" i="31" a="1"/>
  <c r="W1467" i="31"/>
  <c r="V1467" i="31" a="1"/>
  <c r="V1467" i="31"/>
  <c r="U1466" i="31" a="1"/>
  <c r="U1466" i="31"/>
  <c r="W1466" i="31" a="1"/>
  <c r="W1466" i="31"/>
  <c r="V1466" i="31" a="1"/>
  <c r="V1466" i="31"/>
  <c r="U1465" i="31" a="1"/>
  <c r="U1465" i="31"/>
  <c r="W1465" i="31" a="1"/>
  <c r="W1465" i="31"/>
  <c r="V1465" i="31" a="1"/>
  <c r="V1465" i="31"/>
  <c r="U1464" i="31" a="1"/>
  <c r="U1464" i="31"/>
  <c r="W1464" i="31" a="1"/>
  <c r="W1464" i="31"/>
  <c r="V1464" i="31" a="1"/>
  <c r="V1464" i="31"/>
  <c r="U1463" i="31" a="1"/>
  <c r="U1463" i="31"/>
  <c r="W1463" i="31" a="1"/>
  <c r="W1463" i="31"/>
  <c r="V1463" i="31" a="1"/>
  <c r="V1463" i="31"/>
  <c r="U1462" i="31" a="1"/>
  <c r="U1462" i="31"/>
  <c r="W1462" i="31" a="1"/>
  <c r="W1462" i="31"/>
  <c r="V1462" i="31" a="1"/>
  <c r="V1462" i="31"/>
  <c r="U1461" i="31" a="1"/>
  <c r="U1461" i="31"/>
  <c r="W1461" i="31" a="1"/>
  <c r="W1461" i="31"/>
  <c r="V1461" i="31" a="1"/>
  <c r="V1461" i="31"/>
  <c r="U1460" i="31" a="1"/>
  <c r="U1460" i="31"/>
  <c r="W1460" i="31" a="1"/>
  <c r="W1460" i="31"/>
  <c r="V1460" i="31" a="1"/>
  <c r="V1460" i="31"/>
  <c r="U1459" i="31" a="1"/>
  <c r="U1459" i="31"/>
  <c r="W1459" i="31" a="1"/>
  <c r="W1459" i="31"/>
  <c r="V1459" i="31" a="1"/>
  <c r="V1459" i="31"/>
  <c r="U1458" i="31" a="1"/>
  <c r="U1458" i="31"/>
  <c r="W1458" i="31" a="1"/>
  <c r="W1458" i="31"/>
  <c r="V1458" i="31" a="1"/>
  <c r="V1458" i="31"/>
  <c r="U1457" i="31" a="1"/>
  <c r="U1457" i="31"/>
  <c r="W1457" i="31" a="1"/>
  <c r="W1457" i="31"/>
  <c r="V1457" i="31" a="1"/>
  <c r="V1457" i="31"/>
  <c r="U1456" i="31" a="1"/>
  <c r="U1456" i="31"/>
  <c r="W1456" i="31" a="1"/>
  <c r="W1456" i="31"/>
  <c r="V1456" i="31" a="1"/>
  <c r="V1456" i="31"/>
  <c r="U1455" i="31" a="1"/>
  <c r="U1455" i="31"/>
  <c r="W1455" i="31" a="1"/>
  <c r="W1455" i="31"/>
  <c r="V1455" i="31" a="1"/>
  <c r="V1455" i="31"/>
  <c r="U1454" i="31" a="1"/>
  <c r="U1454" i="31"/>
  <c r="W1454" i="31" a="1"/>
  <c r="W1454" i="31"/>
  <c r="V1454" i="31" a="1"/>
  <c r="V1454" i="31"/>
  <c r="U1453" i="31" a="1"/>
  <c r="U1453" i="31"/>
  <c r="W1453" i="31" a="1"/>
  <c r="W1453" i="31"/>
  <c r="V1453" i="31" a="1"/>
  <c r="V1453" i="31"/>
  <c r="U1452" i="31" a="1"/>
  <c r="U1452" i="31"/>
  <c r="W1452" i="31" a="1"/>
  <c r="W1452" i="31"/>
  <c r="V1452" i="31" a="1"/>
  <c r="V1452" i="31"/>
  <c r="U1451" i="31" a="1"/>
  <c r="U1451" i="31"/>
  <c r="W1451" i="31" a="1"/>
  <c r="W1451" i="31"/>
  <c r="V1451" i="31" a="1"/>
  <c r="V1451" i="31"/>
  <c r="U1450" i="31" a="1"/>
  <c r="U1450" i="31"/>
  <c r="W1450" i="31" a="1"/>
  <c r="W1450" i="31"/>
  <c r="V1450" i="31" a="1"/>
  <c r="V1450" i="31"/>
  <c r="U1449" i="31" a="1"/>
  <c r="U1449" i="31"/>
  <c r="W1449" i="31" a="1"/>
  <c r="W1449" i="31"/>
  <c r="V1449" i="31" a="1"/>
  <c r="V1449" i="31"/>
  <c r="U1448" i="31" a="1"/>
  <c r="U1448" i="31"/>
  <c r="W1448" i="31" a="1"/>
  <c r="W1448" i="31"/>
  <c r="V1448" i="31" a="1"/>
  <c r="V1448" i="31"/>
  <c r="U1447" i="31" a="1"/>
  <c r="U1447" i="31"/>
  <c r="W1447" i="31" a="1"/>
  <c r="W1447" i="31"/>
  <c r="V1447" i="31" a="1"/>
  <c r="V1447" i="31"/>
  <c r="U1446" i="31" a="1"/>
  <c r="U1446" i="31"/>
  <c r="W1446" i="31" a="1"/>
  <c r="W1446" i="31"/>
  <c r="V1446" i="31" a="1"/>
  <c r="V1446" i="31"/>
  <c r="U1445" i="31" a="1"/>
  <c r="U1445" i="31"/>
  <c r="W1445" i="31" a="1"/>
  <c r="W1445" i="31"/>
  <c r="V1445" i="31" a="1"/>
  <c r="V1445" i="31"/>
  <c r="U1444" i="31" a="1"/>
  <c r="U1444" i="31"/>
  <c r="W1444" i="31" a="1"/>
  <c r="W1444" i="31"/>
  <c r="V1444" i="31" a="1"/>
  <c r="V1444" i="31"/>
  <c r="U1443" i="31" a="1"/>
  <c r="U1443" i="31"/>
  <c r="W1443" i="31" a="1"/>
  <c r="W1443" i="31"/>
  <c r="V1443" i="31" a="1"/>
  <c r="V1443" i="31"/>
  <c r="U1442" i="31" a="1"/>
  <c r="U1442" i="31"/>
  <c r="W1442" i="31" a="1"/>
  <c r="W1442" i="31"/>
  <c r="V1442" i="31" a="1"/>
  <c r="V1442" i="31"/>
  <c r="U1441" i="31" a="1"/>
  <c r="U1441" i="31"/>
  <c r="W1441" i="31" a="1"/>
  <c r="W1441" i="31"/>
  <c r="V1441" i="31" a="1"/>
  <c r="V1441" i="31"/>
  <c r="U1440" i="31" a="1"/>
  <c r="U1440" i="31"/>
  <c r="W1440" i="31" a="1"/>
  <c r="W1440" i="31"/>
  <c r="V1440" i="31" a="1"/>
  <c r="V1440" i="31"/>
  <c r="U1439" i="31" a="1"/>
  <c r="U1439" i="31"/>
  <c r="W1439" i="31" a="1"/>
  <c r="W1439" i="31"/>
  <c r="V1439" i="31" a="1"/>
  <c r="V1439" i="31"/>
  <c r="U1438" i="31" a="1"/>
  <c r="U1438" i="31"/>
  <c r="W1438" i="31" a="1"/>
  <c r="W1438" i="31"/>
  <c r="V1438" i="31" a="1"/>
  <c r="V1438" i="31"/>
  <c r="U1437" i="31" a="1"/>
  <c r="U1437" i="31"/>
  <c r="W1437" i="31" a="1"/>
  <c r="W1437" i="31"/>
  <c r="V1437" i="31" a="1"/>
  <c r="V1437" i="31"/>
  <c r="U1436" i="31" a="1"/>
  <c r="U1436" i="31"/>
  <c r="W1436" i="31" a="1"/>
  <c r="W1436" i="31"/>
  <c r="V1436" i="31" a="1"/>
  <c r="V1436" i="31"/>
  <c r="U1435" i="31" a="1"/>
  <c r="U1435" i="31"/>
  <c r="W1435" i="31" a="1"/>
  <c r="W1435" i="31"/>
  <c r="V1435" i="31" a="1"/>
  <c r="V1435" i="31"/>
  <c r="U1434" i="31" a="1"/>
  <c r="U1434" i="31"/>
  <c r="W1434" i="31" a="1"/>
  <c r="W1434" i="31"/>
  <c r="V1434" i="31" a="1"/>
  <c r="V1434" i="31"/>
  <c r="U1433" i="31" a="1"/>
  <c r="U1433" i="31"/>
  <c r="W1433" i="31" a="1"/>
  <c r="W1433" i="31"/>
  <c r="V1433" i="31" a="1"/>
  <c r="V1433" i="31"/>
  <c r="U1432" i="31" a="1"/>
  <c r="U1432" i="31"/>
  <c r="W1432" i="31" a="1"/>
  <c r="W1432" i="31"/>
  <c r="V1432" i="31" a="1"/>
  <c r="V1432" i="31"/>
  <c r="U1431" i="31" a="1"/>
  <c r="U1431" i="31"/>
  <c r="W1431" i="31" a="1"/>
  <c r="W1431" i="31"/>
  <c r="V1431" i="31" a="1"/>
  <c r="V1431" i="31"/>
  <c r="U1430" i="31" a="1"/>
  <c r="U1430" i="31"/>
  <c r="W1430" i="31" a="1"/>
  <c r="W1430" i="31"/>
  <c r="V1430" i="31" a="1"/>
  <c r="V1430" i="31"/>
  <c r="U1429" i="31" a="1"/>
  <c r="U1429" i="31"/>
  <c r="W1429" i="31" a="1"/>
  <c r="W1429" i="31"/>
  <c r="V1429" i="31" a="1"/>
  <c r="V1429" i="31"/>
  <c r="U1428" i="31" a="1"/>
  <c r="U1428" i="31"/>
  <c r="W1428" i="31" a="1"/>
  <c r="W1428" i="31"/>
  <c r="V1428" i="31" a="1"/>
  <c r="V1428" i="31"/>
  <c r="U1427" i="31" a="1"/>
  <c r="U1427" i="31"/>
  <c r="W1427" i="31" a="1"/>
  <c r="W1427" i="31"/>
  <c r="V1427" i="31" a="1"/>
  <c r="V1427" i="31"/>
  <c r="U1426" i="31" a="1"/>
  <c r="U1426" i="31"/>
  <c r="W1426" i="31" a="1"/>
  <c r="W1426" i="31"/>
  <c r="V1426" i="31" a="1"/>
  <c r="V1426" i="31"/>
  <c r="U1425" i="31" a="1"/>
  <c r="U1425" i="31"/>
  <c r="W1425" i="31" a="1"/>
  <c r="W1425" i="31"/>
  <c r="V1425" i="31" a="1"/>
  <c r="V1425" i="31"/>
  <c r="U1424" i="31" a="1"/>
  <c r="U1424" i="31"/>
  <c r="W1424" i="31" a="1"/>
  <c r="W1424" i="31"/>
  <c r="V1424" i="31" a="1"/>
  <c r="V1424" i="31"/>
  <c r="U1423" i="31" a="1"/>
  <c r="U1423" i="31"/>
  <c r="W1423" i="31" a="1"/>
  <c r="W1423" i="31"/>
  <c r="V1423" i="31" a="1"/>
  <c r="V1423" i="31"/>
  <c r="U1422" i="31" a="1"/>
  <c r="U1422" i="31"/>
  <c r="W1422" i="31" a="1"/>
  <c r="W1422" i="31"/>
  <c r="V1422" i="31" a="1"/>
  <c r="V1422" i="31"/>
  <c r="U1421" i="31" a="1"/>
  <c r="U1421" i="31"/>
  <c r="W1421" i="31" a="1"/>
  <c r="W1421" i="31"/>
  <c r="V1421" i="31" a="1"/>
  <c r="V1421" i="31"/>
  <c r="U1420" i="31" a="1"/>
  <c r="U1420" i="31"/>
  <c r="W1420" i="31" a="1"/>
  <c r="W1420" i="31"/>
  <c r="V1420" i="31" a="1"/>
  <c r="V1420" i="31"/>
  <c r="U1419" i="31" a="1"/>
  <c r="U1419" i="31"/>
  <c r="W1419" i="31" a="1"/>
  <c r="W1419" i="31"/>
  <c r="V1419" i="31" a="1"/>
  <c r="V1419" i="31"/>
  <c r="U1418" i="31" a="1"/>
  <c r="U1418" i="31"/>
  <c r="W1418" i="31" a="1"/>
  <c r="W1418" i="31"/>
  <c r="V1418" i="31" a="1"/>
  <c r="V1418" i="31"/>
  <c r="U1417" i="31" a="1"/>
  <c r="U1417" i="31"/>
  <c r="W1417" i="31" a="1"/>
  <c r="W1417" i="31"/>
  <c r="V1417" i="31" a="1"/>
  <c r="V1417" i="31"/>
  <c r="U1416" i="31" a="1"/>
  <c r="U1416" i="31"/>
  <c r="W1416" i="31" a="1"/>
  <c r="W1416" i="31"/>
  <c r="V1416" i="31" a="1"/>
  <c r="V1416" i="31"/>
  <c r="U1415" i="31" a="1"/>
  <c r="U1415" i="31"/>
  <c r="W1415" i="31" a="1"/>
  <c r="W1415" i="31"/>
  <c r="V1415" i="31" a="1"/>
  <c r="V1415" i="31"/>
  <c r="U1414" i="31" a="1"/>
  <c r="U1414" i="31"/>
  <c r="W1414" i="31" a="1"/>
  <c r="W1414" i="31"/>
  <c r="V1414" i="31" a="1"/>
  <c r="V1414" i="31"/>
  <c r="U1413" i="31" a="1"/>
  <c r="U1413" i="31"/>
  <c r="W1413" i="31" a="1"/>
  <c r="W1413" i="31"/>
  <c r="V1413" i="31" a="1"/>
  <c r="V1413" i="31"/>
  <c r="U1412" i="31" a="1"/>
  <c r="U1412" i="31"/>
  <c r="W1412" i="31" a="1"/>
  <c r="W1412" i="31"/>
  <c r="V1412" i="31" a="1"/>
  <c r="V1412" i="31"/>
  <c r="U1411" i="31" a="1"/>
  <c r="U1411" i="31"/>
  <c r="W1411" i="31" a="1"/>
  <c r="W1411" i="31"/>
  <c r="V1411" i="31" a="1"/>
  <c r="V1411" i="31"/>
  <c r="U1410" i="31" a="1"/>
  <c r="U1410" i="31"/>
  <c r="W1410" i="31" a="1"/>
  <c r="W1410" i="31"/>
  <c r="V1410" i="31" a="1"/>
  <c r="V1410" i="31"/>
  <c r="U1409" i="31" a="1"/>
  <c r="U1409" i="31"/>
  <c r="W1409" i="31" a="1"/>
  <c r="W1409" i="31"/>
  <c r="V1409" i="31" a="1"/>
  <c r="V1409" i="31"/>
  <c r="U1408" i="31" a="1"/>
  <c r="U1408" i="31"/>
  <c r="W1408" i="31" a="1"/>
  <c r="W1408" i="31"/>
  <c r="V1408" i="31" a="1"/>
  <c r="V1408" i="31"/>
  <c r="U1407" i="31" a="1"/>
  <c r="U1407" i="31"/>
  <c r="W1407" i="31" a="1"/>
  <c r="W1407" i="31"/>
  <c r="V1407" i="31" a="1"/>
  <c r="V1407" i="31"/>
  <c r="U1406" i="31" a="1"/>
  <c r="U1406" i="31"/>
  <c r="W1406" i="31" a="1"/>
  <c r="W1406" i="31"/>
  <c r="V1406" i="31" a="1"/>
  <c r="V1406" i="31"/>
  <c r="U1405" i="31" a="1"/>
  <c r="U1405" i="31"/>
  <c r="W1405" i="31" a="1"/>
  <c r="W1405" i="31"/>
  <c r="V1405" i="31" a="1"/>
  <c r="V1405" i="31"/>
  <c r="U1404" i="31" a="1"/>
  <c r="U1404" i="31"/>
  <c r="W1404" i="31" a="1"/>
  <c r="W1404" i="31"/>
  <c r="V1404" i="31" a="1"/>
  <c r="V1404" i="31"/>
  <c r="U1403" i="31" a="1"/>
  <c r="U1403" i="31"/>
  <c r="W1403" i="31" a="1"/>
  <c r="W1403" i="31"/>
  <c r="V1403" i="31" a="1"/>
  <c r="V1403" i="31"/>
  <c r="U1402" i="31" a="1"/>
  <c r="U1402" i="31"/>
  <c r="W1402" i="31" a="1"/>
  <c r="W1402" i="31"/>
  <c r="V1402" i="31" a="1"/>
  <c r="V1402" i="31"/>
  <c r="U1401" i="31" a="1"/>
  <c r="U1401" i="31"/>
  <c r="W1401" i="31" a="1"/>
  <c r="W1401" i="31"/>
  <c r="V1401" i="31" a="1"/>
  <c r="V1401" i="31"/>
  <c r="U1400" i="31" a="1"/>
  <c r="U1400" i="31"/>
  <c r="W1400" i="31" a="1"/>
  <c r="W1400" i="31"/>
  <c r="V1400" i="31" a="1"/>
  <c r="V1400" i="31"/>
  <c r="U1399" i="31" a="1"/>
  <c r="U1399" i="31"/>
  <c r="W1399" i="31" a="1"/>
  <c r="W1399" i="31"/>
  <c r="V1399" i="31" a="1"/>
  <c r="V1399" i="31"/>
  <c r="U1398" i="31" a="1"/>
  <c r="U1398" i="31"/>
  <c r="W1398" i="31" a="1"/>
  <c r="W1398" i="31"/>
  <c r="V1398" i="31" a="1"/>
  <c r="V1398" i="31"/>
  <c r="U1397" i="31" a="1"/>
  <c r="U1397" i="31"/>
  <c r="W1397" i="31" a="1"/>
  <c r="W1397" i="31"/>
  <c r="V1397" i="31" a="1"/>
  <c r="V1397" i="31"/>
  <c r="U1396" i="31" a="1"/>
  <c r="U1396" i="31"/>
  <c r="W1396" i="31" a="1"/>
  <c r="W1396" i="31"/>
  <c r="V1396" i="31" a="1"/>
  <c r="V1396" i="31"/>
  <c r="U1395" i="31" a="1"/>
  <c r="U1395" i="31"/>
  <c r="W1395" i="31" a="1"/>
  <c r="W1395" i="31"/>
  <c r="V1395" i="31" a="1"/>
  <c r="V1395" i="31"/>
  <c r="U1394" i="31" a="1"/>
  <c r="U1394" i="31"/>
  <c r="W1394" i="31" a="1"/>
  <c r="W1394" i="31"/>
  <c r="V1394" i="31" a="1"/>
  <c r="V1394" i="31"/>
  <c r="U1393" i="31" a="1"/>
  <c r="U1393" i="31"/>
  <c r="W1393" i="31" a="1"/>
  <c r="W1393" i="31"/>
  <c r="V1393" i="31" a="1"/>
  <c r="V1393" i="31"/>
  <c r="U1392" i="31" a="1"/>
  <c r="U1392" i="31"/>
  <c r="W1392" i="31" a="1"/>
  <c r="W1392" i="31"/>
  <c r="V1392" i="31" a="1"/>
  <c r="V1392" i="31"/>
  <c r="U1391" i="31" a="1"/>
  <c r="U1391" i="31"/>
  <c r="W1391" i="31" a="1"/>
  <c r="W1391" i="31"/>
  <c r="V1391" i="31" a="1"/>
  <c r="V1391" i="31"/>
  <c r="U1390" i="31" a="1"/>
  <c r="U1390" i="31"/>
  <c r="W1390" i="31" a="1"/>
  <c r="W1390" i="31"/>
  <c r="V1390" i="31" a="1"/>
  <c r="V1390" i="31"/>
  <c r="U1389" i="31" a="1"/>
  <c r="U1389" i="31"/>
  <c r="W1389" i="31" a="1"/>
  <c r="W1389" i="31"/>
  <c r="V1389" i="31" a="1"/>
  <c r="V1389" i="31"/>
  <c r="U1388" i="31" a="1"/>
  <c r="U1388" i="31"/>
  <c r="W1388" i="31" a="1"/>
  <c r="W1388" i="31"/>
  <c r="V1388" i="31" a="1"/>
  <c r="V1388" i="31"/>
  <c r="U1387" i="31" a="1"/>
  <c r="U1387" i="31"/>
  <c r="W1387" i="31" a="1"/>
  <c r="W1387" i="31"/>
  <c r="V1387" i="31" a="1"/>
  <c r="V1387" i="31"/>
  <c r="U1386" i="31" a="1"/>
  <c r="U1386" i="31"/>
  <c r="W1386" i="31" a="1"/>
  <c r="W1386" i="31"/>
  <c r="V1386" i="31" a="1"/>
  <c r="V1386" i="31"/>
  <c r="U1385" i="31" a="1"/>
  <c r="U1385" i="31"/>
  <c r="W1385" i="31" a="1"/>
  <c r="W1385" i="31"/>
  <c r="V1385" i="31" a="1"/>
  <c r="V1385" i="31"/>
  <c r="U1384" i="31" a="1"/>
  <c r="U1384" i="31"/>
  <c r="W1384" i="31" a="1"/>
  <c r="W1384" i="31"/>
  <c r="V1384" i="31" a="1"/>
  <c r="V1384" i="31"/>
  <c r="U1383" i="31" a="1"/>
  <c r="U1383" i="31"/>
  <c r="W1383" i="31" a="1"/>
  <c r="W1383" i="31"/>
  <c r="V1383" i="31" a="1"/>
  <c r="V1383" i="31"/>
  <c r="U1382" i="31" a="1"/>
  <c r="U1382" i="31"/>
  <c r="W1382" i="31" a="1"/>
  <c r="W1382" i="31"/>
  <c r="V1382" i="31" a="1"/>
  <c r="V1382" i="31"/>
  <c r="U1381" i="31" a="1"/>
  <c r="U1381" i="31"/>
  <c r="W1381" i="31" a="1"/>
  <c r="W1381" i="31"/>
  <c r="V1381" i="31" a="1"/>
  <c r="V1381" i="31"/>
  <c r="U1380" i="31" a="1"/>
  <c r="U1380" i="31"/>
  <c r="W1380" i="31" a="1"/>
  <c r="W1380" i="31"/>
  <c r="V1380" i="31" a="1"/>
  <c r="V1380" i="31"/>
  <c r="U1379" i="31" a="1"/>
  <c r="U1379" i="31"/>
  <c r="W1379" i="31" a="1"/>
  <c r="W1379" i="31"/>
  <c r="V1379" i="31" a="1"/>
  <c r="V1379" i="31"/>
  <c r="U1378" i="31" a="1"/>
  <c r="U1378" i="31"/>
  <c r="W1378" i="31" a="1"/>
  <c r="W1378" i="31"/>
  <c r="V1378" i="31" a="1"/>
  <c r="V1378" i="31"/>
  <c r="U1377" i="31" a="1"/>
  <c r="U1377" i="31"/>
  <c r="W1377" i="31" a="1"/>
  <c r="W1377" i="31"/>
  <c r="V1377" i="31" a="1"/>
  <c r="V1377" i="31"/>
  <c r="U1376" i="31" a="1"/>
  <c r="U1376" i="31"/>
  <c r="W1376" i="31" a="1"/>
  <c r="W1376" i="31"/>
  <c r="V1376" i="31" a="1"/>
  <c r="V1376" i="31"/>
  <c r="U1375" i="31" a="1"/>
  <c r="U1375" i="31"/>
  <c r="W1375" i="31" a="1"/>
  <c r="W1375" i="31"/>
  <c r="V1375" i="31" a="1"/>
  <c r="V1375" i="31"/>
  <c r="U1374" i="31" a="1"/>
  <c r="U1374" i="31"/>
  <c r="W1374" i="31" a="1"/>
  <c r="W1374" i="31"/>
  <c r="V1374" i="31" a="1"/>
  <c r="V1374" i="31"/>
  <c r="U1373" i="31" a="1"/>
  <c r="U1373" i="31"/>
  <c r="W1373" i="31" a="1"/>
  <c r="W1373" i="31"/>
  <c r="V1373" i="31" a="1"/>
  <c r="V1373" i="31"/>
  <c r="U1372" i="31" a="1"/>
  <c r="U1372" i="31"/>
  <c r="W1372" i="31" a="1"/>
  <c r="W1372" i="31"/>
  <c r="V1372" i="31" a="1"/>
  <c r="V1372" i="31"/>
  <c r="U1371" i="31" a="1"/>
  <c r="U1371" i="31"/>
  <c r="W1371" i="31" a="1"/>
  <c r="W1371" i="31"/>
  <c r="V1371" i="31" a="1"/>
  <c r="V1371" i="31"/>
  <c r="U1370" i="31" a="1"/>
  <c r="U1370" i="31"/>
  <c r="W1370" i="31" a="1"/>
  <c r="W1370" i="31"/>
  <c r="V1370" i="31" a="1"/>
  <c r="V1370" i="31"/>
  <c r="U1369" i="31" a="1"/>
  <c r="U1369" i="31"/>
  <c r="W1369" i="31" a="1"/>
  <c r="W1369" i="31"/>
  <c r="V1369" i="31" a="1"/>
  <c r="V1369" i="31"/>
  <c r="U1368" i="31" a="1"/>
  <c r="U1368" i="31"/>
  <c r="W1368" i="31" a="1"/>
  <c r="W1368" i="31"/>
  <c r="V1368" i="31" a="1"/>
  <c r="V1368" i="31"/>
  <c r="U1367" i="31" a="1"/>
  <c r="U1367" i="31"/>
  <c r="W1367" i="31" a="1"/>
  <c r="W1367" i="31"/>
  <c r="V1367" i="31" a="1"/>
  <c r="V1367" i="31"/>
  <c r="U1366" i="31" a="1"/>
  <c r="U1366" i="31"/>
  <c r="W1366" i="31" a="1"/>
  <c r="W1366" i="31"/>
  <c r="V1366" i="31" a="1"/>
  <c r="V1366" i="31"/>
  <c r="U1365" i="31" a="1"/>
  <c r="U1365" i="31"/>
  <c r="W1365" i="31" a="1"/>
  <c r="W1365" i="31"/>
  <c r="V1365" i="31" a="1"/>
  <c r="V1365" i="31"/>
  <c r="U1364" i="31" a="1"/>
  <c r="U1364" i="31"/>
  <c r="W1364" i="31" a="1"/>
  <c r="W1364" i="31"/>
  <c r="V1364" i="31" a="1"/>
  <c r="V1364" i="31"/>
  <c r="U1363" i="31" a="1"/>
  <c r="U1363" i="31"/>
  <c r="W1363" i="31" a="1"/>
  <c r="W1363" i="31"/>
  <c r="V1363" i="31" a="1"/>
  <c r="V1363" i="31"/>
  <c r="U1362" i="31" a="1"/>
  <c r="U1362" i="31"/>
  <c r="W1362" i="31" a="1"/>
  <c r="W1362" i="31"/>
  <c r="V1362" i="31" a="1"/>
  <c r="V1362" i="31"/>
  <c r="U1361" i="31" a="1"/>
  <c r="U1361" i="31"/>
  <c r="W1361" i="31" a="1"/>
  <c r="W1361" i="31"/>
  <c r="V1361" i="31" a="1"/>
  <c r="V1361" i="31"/>
  <c r="U1360" i="31" a="1"/>
  <c r="U1360" i="31"/>
  <c r="W1360" i="31" a="1"/>
  <c r="W1360" i="31"/>
  <c r="V1360" i="31" a="1"/>
  <c r="V1360" i="31"/>
  <c r="U1359" i="31" a="1"/>
  <c r="U1359" i="31"/>
  <c r="W1359" i="31" a="1"/>
  <c r="W1359" i="31"/>
  <c r="V1359" i="31" a="1"/>
  <c r="V1359" i="31"/>
  <c r="U1358" i="31" a="1"/>
  <c r="U1358" i="31"/>
  <c r="W1358" i="31" a="1"/>
  <c r="W1358" i="31"/>
  <c r="V1358" i="31" a="1"/>
  <c r="V1358" i="31"/>
  <c r="U1357" i="31" a="1"/>
  <c r="U1357" i="31"/>
  <c r="W1357" i="31" a="1"/>
  <c r="W1357" i="31"/>
  <c r="V1357" i="31" a="1"/>
  <c r="V1357" i="31"/>
  <c r="U1356" i="31" a="1"/>
  <c r="U1356" i="31"/>
  <c r="W1356" i="31" a="1"/>
  <c r="W1356" i="31"/>
  <c r="V1356" i="31" a="1"/>
  <c r="V1356" i="31"/>
  <c r="U1355" i="31" a="1"/>
  <c r="U1355" i="31"/>
  <c r="W1355" i="31" a="1"/>
  <c r="W1355" i="31"/>
  <c r="V1355" i="31" a="1"/>
  <c r="V1355" i="31"/>
  <c r="U1354" i="31" a="1"/>
  <c r="U1354" i="31"/>
  <c r="W1354" i="31" a="1"/>
  <c r="W1354" i="31"/>
  <c r="V1354" i="31" a="1"/>
  <c r="V1354" i="31"/>
  <c r="U1353" i="31" a="1"/>
  <c r="U1353" i="31"/>
  <c r="W1353" i="31" a="1"/>
  <c r="W1353" i="31"/>
  <c r="V1353" i="31" a="1"/>
  <c r="V1353" i="31"/>
  <c r="U1352" i="31" a="1"/>
  <c r="U1352" i="31"/>
  <c r="W1352" i="31" a="1"/>
  <c r="W1352" i="31"/>
  <c r="V1352" i="31" a="1"/>
  <c r="V1352" i="31"/>
  <c r="U1351" i="31" a="1"/>
  <c r="U1351" i="31"/>
  <c r="W1351" i="31" a="1"/>
  <c r="W1351" i="31"/>
  <c r="V1351" i="31" a="1"/>
  <c r="V1351" i="31"/>
  <c r="U1350" i="31" a="1"/>
  <c r="U1350" i="31"/>
  <c r="W1350" i="31" a="1"/>
  <c r="W1350" i="31"/>
  <c r="V1350" i="31" a="1"/>
  <c r="V1350" i="31"/>
  <c r="U1349" i="31" a="1"/>
  <c r="U1349" i="31"/>
  <c r="W1349" i="31" a="1"/>
  <c r="W1349" i="31"/>
  <c r="V1349" i="31" a="1"/>
  <c r="V1349" i="31"/>
  <c r="U1348" i="31" a="1"/>
  <c r="U1348" i="31"/>
  <c r="W1348" i="31" a="1"/>
  <c r="W1348" i="31"/>
  <c r="V1348" i="31" a="1"/>
  <c r="V1348" i="31"/>
  <c r="U1347" i="31" a="1"/>
  <c r="U1347" i="31"/>
  <c r="W1347" i="31" a="1"/>
  <c r="W1347" i="31"/>
  <c r="V1347" i="31" a="1"/>
  <c r="V1347" i="31"/>
  <c r="U1346" i="31" a="1"/>
  <c r="U1346" i="31"/>
  <c r="W1346" i="31" a="1"/>
  <c r="W1346" i="31"/>
  <c r="V1346" i="31" a="1"/>
  <c r="V1346" i="31"/>
  <c r="U1345" i="31" a="1"/>
  <c r="U1345" i="31"/>
  <c r="W1345" i="31" a="1"/>
  <c r="W1345" i="31"/>
  <c r="V1345" i="31" a="1"/>
  <c r="V1345" i="31"/>
  <c r="U1344" i="31" a="1"/>
  <c r="U1344" i="31"/>
  <c r="W1344" i="31" a="1"/>
  <c r="W1344" i="31"/>
  <c r="V1344" i="31" a="1"/>
  <c r="V1344" i="31"/>
  <c r="U1343" i="31" a="1"/>
  <c r="U1343" i="31"/>
  <c r="W1343" i="31" a="1"/>
  <c r="W1343" i="31"/>
  <c r="V1343" i="31" a="1"/>
  <c r="V1343" i="31"/>
  <c r="U1342" i="31" a="1"/>
  <c r="U1342" i="31"/>
  <c r="W1342" i="31" a="1"/>
  <c r="W1342" i="31"/>
  <c r="V1342" i="31" a="1"/>
  <c r="V1342" i="31"/>
  <c r="U1341" i="31" a="1"/>
  <c r="U1341" i="31"/>
  <c r="W1341" i="31" a="1"/>
  <c r="W1341" i="31"/>
  <c r="V1341" i="31" a="1"/>
  <c r="V1341" i="31"/>
  <c r="U1340" i="31" a="1"/>
  <c r="U1340" i="31"/>
  <c r="W1340" i="31" a="1"/>
  <c r="W1340" i="31"/>
  <c r="V1340" i="31" a="1"/>
  <c r="V1340" i="31"/>
  <c r="U1339" i="31" a="1"/>
  <c r="U1339" i="31"/>
  <c r="W1339" i="31" a="1"/>
  <c r="W1339" i="31"/>
  <c r="V1339" i="31" a="1"/>
  <c r="V1339" i="31"/>
  <c r="U1338" i="31" a="1"/>
  <c r="U1338" i="31"/>
  <c r="W1338" i="31" a="1"/>
  <c r="W1338" i="31"/>
  <c r="V1338" i="31" a="1"/>
  <c r="V1338" i="31"/>
  <c r="U1337" i="31" a="1"/>
  <c r="U1337" i="31"/>
  <c r="W1337" i="31" a="1"/>
  <c r="W1337" i="31"/>
  <c r="V1337" i="31" a="1"/>
  <c r="V1337" i="31"/>
  <c r="U1336" i="31" a="1"/>
  <c r="U1336" i="31"/>
  <c r="W1336" i="31" a="1"/>
  <c r="W1336" i="31"/>
  <c r="V1336" i="31" a="1"/>
  <c r="V1336" i="31"/>
  <c r="U1335" i="31" a="1"/>
  <c r="U1335" i="31"/>
  <c r="W1335" i="31" a="1"/>
  <c r="W1335" i="31"/>
  <c r="V1335" i="31" a="1"/>
  <c r="V1335" i="31"/>
  <c r="U1334" i="31" a="1"/>
  <c r="U1334" i="31"/>
  <c r="W1334" i="31" a="1"/>
  <c r="W1334" i="31"/>
  <c r="V1334" i="31" a="1"/>
  <c r="V1334" i="31"/>
  <c r="U1333" i="31" a="1"/>
  <c r="U1333" i="31"/>
  <c r="W1333" i="31" a="1"/>
  <c r="W1333" i="31"/>
  <c r="V1333" i="31" a="1"/>
  <c r="V1333" i="31"/>
  <c r="U1332" i="31" a="1"/>
  <c r="U1332" i="31"/>
  <c r="W1332" i="31" a="1"/>
  <c r="W1332" i="31"/>
  <c r="V1332" i="31" a="1"/>
  <c r="V1332" i="31"/>
  <c r="U1331" i="31" a="1"/>
  <c r="U1331" i="31"/>
  <c r="W1331" i="31" a="1"/>
  <c r="W1331" i="31"/>
  <c r="V1331" i="31" a="1"/>
  <c r="V1331" i="31"/>
  <c r="U1330" i="31" a="1"/>
  <c r="U1330" i="31"/>
  <c r="W1330" i="31" a="1"/>
  <c r="W1330" i="31"/>
  <c r="V1330" i="31" a="1"/>
  <c r="V1330" i="31"/>
  <c r="U1329" i="31" a="1"/>
  <c r="U1329" i="31"/>
  <c r="W1329" i="31" a="1"/>
  <c r="W1329" i="31"/>
  <c r="V1329" i="31" a="1"/>
  <c r="V1329" i="31"/>
  <c r="U1328" i="31" a="1"/>
  <c r="U1328" i="31"/>
  <c r="W1328" i="31" a="1"/>
  <c r="W1328" i="31"/>
  <c r="V1328" i="31" a="1"/>
  <c r="V1328" i="31"/>
  <c r="U1327" i="31" a="1"/>
  <c r="U1327" i="31"/>
  <c r="W1327" i="31" a="1"/>
  <c r="W1327" i="31"/>
  <c r="V1327" i="31" a="1"/>
  <c r="V1327" i="31"/>
  <c r="U1326" i="31" a="1"/>
  <c r="U1326" i="31"/>
  <c r="W1326" i="31" a="1"/>
  <c r="W1326" i="31"/>
  <c r="V1326" i="31" a="1"/>
  <c r="V1326" i="31"/>
  <c r="U1325" i="31" a="1"/>
  <c r="U1325" i="31"/>
  <c r="W1325" i="31" a="1"/>
  <c r="W1325" i="31"/>
  <c r="V1325" i="31" a="1"/>
  <c r="V1325" i="31"/>
  <c r="U1324" i="31" a="1"/>
  <c r="U1324" i="31"/>
  <c r="W1324" i="31" a="1"/>
  <c r="W1324" i="31"/>
  <c r="V1324" i="31" a="1"/>
  <c r="V1324" i="31"/>
  <c r="U1323" i="31" a="1"/>
  <c r="U1323" i="31"/>
  <c r="W1323" i="31" a="1"/>
  <c r="W1323" i="31"/>
  <c r="V1323" i="31" a="1"/>
  <c r="V1323" i="31"/>
  <c r="U1322" i="31" a="1"/>
  <c r="U1322" i="31"/>
  <c r="W1322" i="31" a="1"/>
  <c r="W1322" i="31"/>
  <c r="V1322" i="31" a="1"/>
  <c r="V1322" i="31"/>
  <c r="U1321" i="31" a="1"/>
  <c r="U1321" i="31"/>
  <c r="W1321" i="31" a="1"/>
  <c r="W1321" i="31"/>
  <c r="V1321" i="31" a="1"/>
  <c r="V1321" i="31"/>
  <c r="U1320" i="31" a="1"/>
  <c r="U1320" i="31"/>
  <c r="W1320" i="31" a="1"/>
  <c r="W1320" i="31"/>
  <c r="V1320" i="31" a="1"/>
  <c r="V1320" i="31"/>
  <c r="U1319" i="31" a="1"/>
  <c r="U1319" i="31"/>
  <c r="W1319" i="31" a="1"/>
  <c r="W1319" i="31"/>
  <c r="V1319" i="31" a="1"/>
  <c r="V1319" i="31"/>
  <c r="U1318" i="31" a="1"/>
  <c r="U1318" i="31"/>
  <c r="W1318" i="31" a="1"/>
  <c r="W1318" i="31"/>
  <c r="V1318" i="31" a="1"/>
  <c r="V1318" i="31"/>
  <c r="U1317" i="31" a="1"/>
  <c r="U1317" i="31"/>
  <c r="W1317" i="31" a="1"/>
  <c r="W1317" i="31"/>
  <c r="V1317" i="31" a="1"/>
  <c r="V1317" i="31"/>
  <c r="U1316" i="31" a="1"/>
  <c r="U1316" i="31"/>
  <c r="W1316" i="31" a="1"/>
  <c r="W1316" i="31"/>
  <c r="V1316" i="31" a="1"/>
  <c r="V1316" i="31"/>
  <c r="U1315" i="31" a="1"/>
  <c r="U1315" i="31"/>
  <c r="W1315" i="31" a="1"/>
  <c r="W1315" i="31"/>
  <c r="V1315" i="31" a="1"/>
  <c r="V1315" i="31"/>
  <c r="U1314" i="31" a="1"/>
  <c r="U1314" i="31"/>
  <c r="W1314" i="31" a="1"/>
  <c r="W1314" i="31"/>
  <c r="V1314" i="31" a="1"/>
  <c r="V1314" i="31"/>
  <c r="U1313" i="31" a="1"/>
  <c r="U1313" i="31"/>
  <c r="W1313" i="31" a="1"/>
  <c r="W1313" i="31"/>
  <c r="V1313" i="31" a="1"/>
  <c r="V1313" i="31"/>
  <c r="U1312" i="31" a="1"/>
  <c r="U1312" i="31"/>
  <c r="W1312" i="31" a="1"/>
  <c r="W1312" i="31"/>
  <c r="V1312" i="31" a="1"/>
  <c r="V1312" i="31"/>
  <c r="U1311" i="31" a="1"/>
  <c r="U1311" i="31"/>
  <c r="W1311" i="31" a="1"/>
  <c r="W1311" i="31"/>
  <c r="V1311" i="31" a="1"/>
  <c r="V1311" i="31"/>
  <c r="U1310" i="31" a="1"/>
  <c r="U1310" i="31"/>
  <c r="W1310" i="31" a="1"/>
  <c r="W1310" i="31"/>
  <c r="V1310" i="31" a="1"/>
  <c r="V1310" i="31"/>
  <c r="U1309" i="31" a="1"/>
  <c r="U1309" i="31"/>
  <c r="W1309" i="31" a="1"/>
  <c r="W1309" i="31"/>
  <c r="V1309" i="31" a="1"/>
  <c r="V1309" i="31"/>
  <c r="U1308" i="31" a="1"/>
  <c r="U1308" i="31"/>
  <c r="W1308" i="31" a="1"/>
  <c r="W1308" i="31"/>
  <c r="V1308" i="31" a="1"/>
  <c r="V1308" i="31"/>
  <c r="U1307" i="31" a="1"/>
  <c r="U1307" i="31"/>
  <c r="W1307" i="31" a="1"/>
  <c r="W1307" i="31"/>
  <c r="V1307" i="31" a="1"/>
  <c r="V1307" i="31"/>
  <c r="U1306" i="31" a="1"/>
  <c r="U1306" i="31"/>
  <c r="W1306" i="31" a="1"/>
  <c r="W1306" i="31"/>
  <c r="V1306" i="31" a="1"/>
  <c r="V1306" i="31"/>
  <c r="U1305" i="31" a="1"/>
  <c r="U1305" i="31"/>
  <c r="W1305" i="31" a="1"/>
  <c r="W1305" i="31"/>
  <c r="V1305" i="31" a="1"/>
  <c r="V1305" i="31"/>
  <c r="U1304" i="31" a="1"/>
  <c r="U1304" i="31"/>
  <c r="W1304" i="31" a="1"/>
  <c r="W1304" i="31"/>
  <c r="V1304" i="31" a="1"/>
  <c r="V1304" i="31"/>
  <c r="U1303" i="31" a="1"/>
  <c r="U1303" i="31"/>
  <c r="W1303" i="31" a="1"/>
  <c r="W1303" i="31"/>
  <c r="V1303" i="31" a="1"/>
  <c r="V1303" i="31"/>
  <c r="U1302" i="31" a="1"/>
  <c r="U1302" i="31"/>
  <c r="W1302" i="31" a="1"/>
  <c r="W1302" i="31"/>
  <c r="V1302" i="31" a="1"/>
  <c r="V1302" i="31"/>
  <c r="U1301" i="31" a="1"/>
  <c r="U1301" i="31"/>
  <c r="W1301" i="31" a="1"/>
  <c r="W1301" i="31"/>
  <c r="V1301" i="31" a="1"/>
  <c r="V1301" i="31"/>
  <c r="U1300" i="31" a="1"/>
  <c r="U1300" i="31"/>
  <c r="W1300" i="31" a="1"/>
  <c r="W1300" i="31"/>
  <c r="V1300" i="31" a="1"/>
  <c r="V1300" i="31"/>
  <c r="U1299" i="31" a="1"/>
  <c r="U1299" i="31"/>
  <c r="W1299" i="31" a="1"/>
  <c r="W1299" i="31"/>
  <c r="V1299" i="31" a="1"/>
  <c r="V1299" i="31"/>
  <c r="U1298" i="31" a="1"/>
  <c r="U1298" i="31"/>
  <c r="W1298" i="31" a="1"/>
  <c r="W1298" i="31"/>
  <c r="V1298" i="31" a="1"/>
  <c r="V1298" i="31"/>
  <c r="U1297" i="31" a="1"/>
  <c r="U1297" i="31"/>
  <c r="W1297" i="31" a="1"/>
  <c r="W1297" i="31"/>
  <c r="V1297" i="31" a="1"/>
  <c r="V1297" i="31"/>
  <c r="U1296" i="31" a="1"/>
  <c r="U1296" i="31"/>
  <c r="W1296" i="31" a="1"/>
  <c r="W1296" i="31"/>
  <c r="V1296" i="31" a="1"/>
  <c r="V1296" i="31"/>
  <c r="U1295" i="31" a="1"/>
  <c r="U1295" i="31"/>
  <c r="W1295" i="31" a="1"/>
  <c r="W1295" i="31"/>
  <c r="V1295" i="31" a="1"/>
  <c r="V1295" i="31"/>
  <c r="U1294" i="31" a="1"/>
  <c r="U1294" i="31"/>
  <c r="W1294" i="31" a="1"/>
  <c r="W1294" i="31"/>
  <c r="V1294" i="31" a="1"/>
  <c r="V1294" i="31"/>
  <c r="U1293" i="31" a="1"/>
  <c r="U1293" i="31"/>
  <c r="W1293" i="31" a="1"/>
  <c r="W1293" i="31"/>
  <c r="V1293" i="31" a="1"/>
  <c r="V1293" i="31"/>
  <c r="U1292" i="31" a="1"/>
  <c r="U1292" i="31"/>
  <c r="W1292" i="31" a="1"/>
  <c r="W1292" i="31"/>
  <c r="V1292" i="31" a="1"/>
  <c r="V1292" i="31"/>
  <c r="U1291" i="31" a="1"/>
  <c r="U1291" i="31"/>
  <c r="W1291" i="31" a="1"/>
  <c r="W1291" i="31"/>
  <c r="V1291" i="31" a="1"/>
  <c r="V1291" i="31"/>
  <c r="U1290" i="31" a="1"/>
  <c r="U1290" i="31"/>
  <c r="W1290" i="31" a="1"/>
  <c r="W1290" i="31"/>
  <c r="V1290" i="31" a="1"/>
  <c r="V1290" i="31"/>
  <c r="U1289" i="31" a="1"/>
  <c r="U1289" i="31"/>
  <c r="W1289" i="31" a="1"/>
  <c r="W1289" i="31"/>
  <c r="V1289" i="31" a="1"/>
  <c r="V1289" i="31"/>
  <c r="U1288" i="31" a="1"/>
  <c r="U1288" i="31"/>
  <c r="W1288" i="31" a="1"/>
  <c r="W1288" i="31"/>
  <c r="V1288" i="31" a="1"/>
  <c r="V1288" i="31"/>
  <c r="U1287" i="31" a="1"/>
  <c r="U1287" i="31"/>
  <c r="W1287" i="31" a="1"/>
  <c r="W1287" i="31"/>
  <c r="V1287" i="31" a="1"/>
  <c r="V1287" i="31"/>
  <c r="U1286" i="31" a="1"/>
  <c r="U1286" i="31"/>
  <c r="W1286" i="31" a="1"/>
  <c r="W1286" i="31"/>
  <c r="V1286" i="31" a="1"/>
  <c r="V1286" i="31"/>
  <c r="U1285" i="31" a="1"/>
  <c r="U1285" i="31"/>
  <c r="W1285" i="31" a="1"/>
  <c r="W1285" i="31"/>
  <c r="V1285" i="31" a="1"/>
  <c r="V1285" i="31"/>
  <c r="U1284" i="31" a="1"/>
  <c r="U1284" i="31"/>
  <c r="W1284" i="31" a="1"/>
  <c r="W1284" i="31"/>
  <c r="V1284" i="31" a="1"/>
  <c r="V1284" i="31"/>
  <c r="U1283" i="31" a="1"/>
  <c r="U1283" i="31"/>
  <c r="W1283" i="31" a="1"/>
  <c r="W1283" i="31"/>
  <c r="V1283" i="31" a="1"/>
  <c r="V1283" i="31"/>
  <c r="U1282" i="31" a="1"/>
  <c r="U1282" i="31"/>
  <c r="W1282" i="31" a="1"/>
  <c r="W1282" i="31"/>
  <c r="V1282" i="31" a="1"/>
  <c r="V1282" i="31"/>
  <c r="U1281" i="31" a="1"/>
  <c r="U1281" i="31"/>
  <c r="W1281" i="31" a="1"/>
  <c r="W1281" i="31"/>
  <c r="V1281" i="31" a="1"/>
  <c r="V1281" i="31"/>
  <c r="U1280" i="31" a="1"/>
  <c r="U1280" i="31"/>
  <c r="W1280" i="31" a="1"/>
  <c r="W1280" i="31"/>
  <c r="V1280" i="31" a="1"/>
  <c r="V1280" i="31"/>
  <c r="U1279" i="31" a="1"/>
  <c r="U1279" i="31"/>
  <c r="W1279" i="31" a="1"/>
  <c r="W1279" i="31"/>
  <c r="V1279" i="31" a="1"/>
  <c r="V1279" i="31"/>
  <c r="U1278" i="31" a="1"/>
  <c r="U1278" i="31"/>
  <c r="W1278" i="31" a="1"/>
  <c r="W1278" i="31"/>
  <c r="V1278" i="31" a="1"/>
  <c r="V1278" i="31"/>
  <c r="U1277" i="31" a="1"/>
  <c r="U1277" i="31"/>
  <c r="W1277" i="31" a="1"/>
  <c r="W1277" i="31"/>
  <c r="V1277" i="31" a="1"/>
  <c r="V1277" i="31"/>
  <c r="U1276" i="31" a="1"/>
  <c r="U1276" i="31"/>
  <c r="W1276" i="31" a="1"/>
  <c r="W1276" i="31"/>
  <c r="V1276" i="31" a="1"/>
  <c r="V1276" i="31"/>
  <c r="U1275" i="31" a="1"/>
  <c r="U1275" i="31"/>
  <c r="W1275" i="31" a="1"/>
  <c r="W1275" i="31"/>
  <c r="V1275" i="31" a="1"/>
  <c r="V1275" i="31"/>
  <c r="U1274" i="31" a="1"/>
  <c r="U1274" i="31"/>
  <c r="W1274" i="31" a="1"/>
  <c r="W1274" i="31"/>
  <c r="V1274" i="31" a="1"/>
  <c r="V1274" i="31"/>
  <c r="U1273" i="31" a="1"/>
  <c r="U1273" i="31"/>
  <c r="W1273" i="31" a="1"/>
  <c r="W1273" i="31"/>
  <c r="V1273" i="31" a="1"/>
  <c r="V1273" i="31"/>
  <c r="U1272" i="31" a="1"/>
  <c r="U1272" i="31"/>
  <c r="W1272" i="31" a="1"/>
  <c r="W1272" i="31"/>
  <c r="V1272" i="31" a="1"/>
  <c r="V1272" i="31"/>
  <c r="U1271" i="31" a="1"/>
  <c r="U1271" i="31"/>
  <c r="W1271" i="31" a="1"/>
  <c r="W1271" i="31"/>
  <c r="V1271" i="31" a="1"/>
  <c r="V1271" i="31"/>
  <c r="U1270" i="31" a="1"/>
  <c r="U1270" i="31"/>
  <c r="W1270" i="31" a="1"/>
  <c r="W1270" i="31"/>
  <c r="V1270" i="31" a="1"/>
  <c r="V1270" i="31"/>
  <c r="U1269" i="31" a="1"/>
  <c r="U1269" i="31"/>
  <c r="W1269" i="31" a="1"/>
  <c r="W1269" i="31"/>
  <c r="V1269" i="31" a="1"/>
  <c r="V1269" i="31"/>
  <c r="U1268" i="31" a="1"/>
  <c r="U1268" i="31"/>
  <c r="W1268" i="31" a="1"/>
  <c r="W1268" i="31"/>
  <c r="V1268" i="31" a="1"/>
  <c r="V1268" i="31"/>
  <c r="U1267" i="31" a="1"/>
  <c r="U1267" i="31"/>
  <c r="W1267" i="31" a="1"/>
  <c r="W1267" i="31"/>
  <c r="V1267" i="31" a="1"/>
  <c r="V1267" i="31"/>
  <c r="U1266" i="31" a="1"/>
  <c r="U1266" i="31"/>
  <c r="W1266" i="31" a="1"/>
  <c r="W1266" i="31"/>
  <c r="V1266" i="31" a="1"/>
  <c r="V1266" i="31"/>
  <c r="U1265" i="31" a="1"/>
  <c r="U1265" i="31"/>
  <c r="W1265" i="31" a="1"/>
  <c r="W1265" i="31"/>
  <c r="V1265" i="31" a="1"/>
  <c r="V1265" i="31"/>
  <c r="U1264" i="31" a="1"/>
  <c r="U1264" i="31"/>
  <c r="W1264" i="31" a="1"/>
  <c r="W1264" i="31"/>
  <c r="V1264" i="31" a="1"/>
  <c r="V1264" i="31"/>
  <c r="U1263" i="31" a="1"/>
  <c r="U1263" i="31"/>
  <c r="W1263" i="31" a="1"/>
  <c r="W1263" i="31"/>
  <c r="V1263" i="31" a="1"/>
  <c r="V1263" i="31"/>
  <c r="U1262" i="31" a="1"/>
  <c r="U1262" i="31"/>
  <c r="W1262" i="31" a="1"/>
  <c r="W1262" i="31"/>
  <c r="V1262" i="31" a="1"/>
  <c r="V1262" i="31"/>
  <c r="U1261" i="31" a="1"/>
  <c r="U1261" i="31"/>
  <c r="W1261" i="31" a="1"/>
  <c r="W1261" i="31"/>
  <c r="V1261" i="31" a="1"/>
  <c r="V1261" i="31"/>
  <c r="U1260" i="31" a="1"/>
  <c r="U1260" i="31"/>
  <c r="W1260" i="31" a="1"/>
  <c r="W1260" i="31"/>
  <c r="V1260" i="31" a="1"/>
  <c r="V1260" i="31"/>
  <c r="U1259" i="31" a="1"/>
  <c r="U1259" i="31"/>
  <c r="W1259" i="31" a="1"/>
  <c r="W1259" i="31"/>
  <c r="V1259" i="31" a="1"/>
  <c r="V1259" i="31"/>
  <c r="U1258" i="31" a="1"/>
  <c r="U1258" i="31"/>
  <c r="W1258" i="31" a="1"/>
  <c r="W1258" i="31"/>
  <c r="V1258" i="31" a="1"/>
  <c r="V1258" i="31"/>
  <c r="U1257" i="31" a="1"/>
  <c r="U1257" i="31"/>
  <c r="W1257" i="31" a="1"/>
  <c r="W1257" i="31"/>
  <c r="V1257" i="31" a="1"/>
  <c r="V1257" i="31"/>
  <c r="U1256" i="31" a="1"/>
  <c r="U1256" i="31"/>
  <c r="W1256" i="31" a="1"/>
  <c r="W1256" i="31"/>
  <c r="V1256" i="31" a="1"/>
  <c r="V1256" i="31"/>
  <c r="U1255" i="31" a="1"/>
  <c r="U1255" i="31"/>
  <c r="W1255" i="31" a="1"/>
  <c r="W1255" i="31"/>
  <c r="V1255" i="31" a="1"/>
  <c r="V1255" i="31"/>
  <c r="U1254" i="31" a="1"/>
  <c r="U1254" i="31"/>
  <c r="W1254" i="31" a="1"/>
  <c r="W1254" i="31"/>
  <c r="V1254" i="31" a="1"/>
  <c r="V1254" i="31"/>
  <c r="U1253" i="31" a="1"/>
  <c r="U1253" i="31"/>
  <c r="W1253" i="31" a="1"/>
  <c r="W1253" i="31"/>
  <c r="V1253" i="31" a="1"/>
  <c r="V1253" i="31"/>
  <c r="U1252" i="31" a="1"/>
  <c r="U1252" i="31"/>
  <c r="W1252" i="31" a="1"/>
  <c r="W1252" i="31"/>
  <c r="V1252" i="31" a="1"/>
  <c r="V1252" i="31"/>
  <c r="U1251" i="31" a="1"/>
  <c r="U1251" i="31"/>
  <c r="W1251" i="31" a="1"/>
  <c r="W1251" i="31"/>
  <c r="V1251" i="31" a="1"/>
  <c r="V1251" i="31"/>
  <c r="U1250" i="31" a="1"/>
  <c r="U1250" i="31"/>
  <c r="W1250" i="31" a="1"/>
  <c r="W1250" i="31"/>
  <c r="V1250" i="31" a="1"/>
  <c r="V1250" i="31"/>
  <c r="U1249" i="31" a="1"/>
  <c r="U1249" i="31"/>
  <c r="W1249" i="31" a="1"/>
  <c r="W1249" i="31"/>
  <c r="V1249" i="31" a="1"/>
  <c r="V1249" i="31"/>
  <c r="U1248" i="31" a="1"/>
  <c r="U1248" i="31"/>
  <c r="W1248" i="31" a="1"/>
  <c r="W1248" i="31"/>
  <c r="V1248" i="31" a="1"/>
  <c r="V1248" i="31"/>
  <c r="U1247" i="31" a="1"/>
  <c r="U1247" i="31"/>
  <c r="W1247" i="31" a="1"/>
  <c r="W1247" i="31"/>
  <c r="V1247" i="31" a="1"/>
  <c r="V1247" i="31"/>
  <c r="U1246" i="31" a="1"/>
  <c r="U1246" i="31"/>
  <c r="W1246" i="31" a="1"/>
  <c r="W1246" i="31"/>
  <c r="V1246" i="31" a="1"/>
  <c r="V1246" i="31"/>
  <c r="U1245" i="31" a="1"/>
  <c r="U1245" i="31"/>
  <c r="W1245" i="31" a="1"/>
  <c r="W1245" i="31"/>
  <c r="V1245" i="31" a="1"/>
  <c r="V1245" i="31"/>
  <c r="U1244" i="31" a="1"/>
  <c r="U1244" i="31"/>
  <c r="W1244" i="31" a="1"/>
  <c r="W1244" i="31"/>
  <c r="V1244" i="31" a="1"/>
  <c r="V1244" i="31"/>
  <c r="U1243" i="31" a="1"/>
  <c r="U1243" i="31"/>
  <c r="W1243" i="31" a="1"/>
  <c r="W1243" i="31"/>
  <c r="V1243" i="31" a="1"/>
  <c r="V1243" i="31"/>
  <c r="U1242" i="31" a="1"/>
  <c r="U1242" i="31"/>
  <c r="W1242" i="31" a="1"/>
  <c r="W1242" i="31"/>
  <c r="V1242" i="31" a="1"/>
  <c r="V1242" i="31"/>
  <c r="U1241" i="31" a="1"/>
  <c r="U1241" i="31"/>
  <c r="W1241" i="31" a="1"/>
  <c r="W1241" i="31"/>
  <c r="V1241" i="31" a="1"/>
  <c r="V1241" i="31"/>
  <c r="U1240" i="31" a="1"/>
  <c r="U1240" i="31"/>
  <c r="W1240" i="31" a="1"/>
  <c r="W1240" i="31"/>
  <c r="V1240" i="31" a="1"/>
  <c r="V1240" i="31"/>
  <c r="U1239" i="31" a="1"/>
  <c r="U1239" i="31"/>
  <c r="W1239" i="31" a="1"/>
  <c r="W1239" i="31"/>
  <c r="V1239" i="31" a="1"/>
  <c r="V1239" i="31"/>
  <c r="U1238" i="31" a="1"/>
  <c r="U1238" i="31"/>
  <c r="W1238" i="31" a="1"/>
  <c r="W1238" i="31"/>
  <c r="V1238" i="31" a="1"/>
  <c r="V1238" i="31"/>
  <c r="U1237" i="31" a="1"/>
  <c r="U1237" i="31"/>
  <c r="W1237" i="31" a="1"/>
  <c r="W1237" i="31"/>
  <c r="V1237" i="31" a="1"/>
  <c r="V1237" i="31"/>
  <c r="U1236" i="31" a="1"/>
  <c r="U1236" i="31"/>
  <c r="W1236" i="31" a="1"/>
  <c r="W1236" i="31"/>
  <c r="V1236" i="31" a="1"/>
  <c r="V1236" i="31"/>
  <c r="U1235" i="31" a="1"/>
  <c r="U1235" i="31"/>
  <c r="W1235" i="31" a="1"/>
  <c r="W1235" i="31"/>
  <c r="V1235" i="31" a="1"/>
  <c r="V1235" i="31"/>
  <c r="U1234" i="31" a="1"/>
  <c r="U1234" i="31"/>
  <c r="W1234" i="31" a="1"/>
  <c r="W1234" i="31"/>
  <c r="V1234" i="31" a="1"/>
  <c r="V1234" i="31"/>
  <c r="U1233" i="31" a="1"/>
  <c r="U1233" i="31"/>
  <c r="W1233" i="31" a="1"/>
  <c r="W1233" i="31"/>
  <c r="V1233" i="31" a="1"/>
  <c r="V1233" i="31"/>
  <c r="U1232" i="31" a="1"/>
  <c r="U1232" i="31"/>
  <c r="W1232" i="31" a="1"/>
  <c r="W1232" i="31"/>
  <c r="V1232" i="31" a="1"/>
  <c r="V1232" i="31"/>
  <c r="U1231" i="31" a="1"/>
  <c r="U1231" i="31"/>
  <c r="W1231" i="31" a="1"/>
  <c r="W1231" i="31"/>
  <c r="V1231" i="31" a="1"/>
  <c r="V1231" i="31"/>
  <c r="U1230" i="31" a="1"/>
  <c r="U1230" i="31"/>
  <c r="W1230" i="31" a="1"/>
  <c r="W1230" i="31"/>
  <c r="V1230" i="31" a="1"/>
  <c r="V1230" i="31"/>
  <c r="U1229" i="31" a="1"/>
  <c r="U1229" i="31"/>
  <c r="W1229" i="31" a="1"/>
  <c r="W1229" i="31"/>
  <c r="V1229" i="31" a="1"/>
  <c r="V1229" i="31"/>
  <c r="U1228" i="31" a="1"/>
  <c r="U1228" i="31"/>
  <c r="W1228" i="31" a="1"/>
  <c r="W1228" i="31"/>
  <c r="V1228" i="31" a="1"/>
  <c r="V1228" i="31"/>
  <c r="U1227" i="31" a="1"/>
  <c r="U1227" i="31"/>
  <c r="W1227" i="31" a="1"/>
  <c r="W1227" i="31"/>
  <c r="V1227" i="31" a="1"/>
  <c r="V1227" i="31"/>
  <c r="U1226" i="31" a="1"/>
  <c r="U1226" i="31"/>
  <c r="W1226" i="31" a="1"/>
  <c r="W1226" i="31"/>
  <c r="V1226" i="31" a="1"/>
  <c r="V1226" i="31"/>
  <c r="U1225" i="31" a="1"/>
  <c r="U1225" i="31"/>
  <c r="W1225" i="31" a="1"/>
  <c r="W1225" i="31"/>
  <c r="V1225" i="31" a="1"/>
  <c r="V1225" i="31"/>
  <c r="U1224" i="31" a="1"/>
  <c r="U1224" i="31"/>
  <c r="W1224" i="31" a="1"/>
  <c r="W1224" i="31"/>
  <c r="V1224" i="31" a="1"/>
  <c r="V1224" i="31"/>
  <c r="U1223" i="31" a="1"/>
  <c r="U1223" i="31"/>
  <c r="W1223" i="31" a="1"/>
  <c r="W1223" i="31"/>
  <c r="V1223" i="31" a="1"/>
  <c r="V1223" i="31"/>
  <c r="U1222" i="31" a="1"/>
  <c r="U1222" i="31"/>
  <c r="W1222" i="31" a="1"/>
  <c r="W1222" i="31"/>
  <c r="V1222" i="31" a="1"/>
  <c r="V1222" i="31"/>
  <c r="U1221" i="31" a="1"/>
  <c r="U1221" i="31"/>
  <c r="W1221" i="31" a="1"/>
  <c r="W1221" i="31"/>
  <c r="V1221" i="31" a="1"/>
  <c r="V1221" i="31"/>
  <c r="U1220" i="31" a="1"/>
  <c r="U1220" i="31"/>
  <c r="W1220" i="31" a="1"/>
  <c r="W1220" i="31"/>
  <c r="V1220" i="31" a="1"/>
  <c r="V1220" i="31"/>
  <c r="U1219" i="31" a="1"/>
  <c r="U1219" i="31"/>
  <c r="W1219" i="31" a="1"/>
  <c r="W1219" i="31"/>
  <c r="V1219" i="31" a="1"/>
  <c r="V1219" i="31"/>
  <c r="U1218" i="31" a="1"/>
  <c r="U1218" i="31"/>
  <c r="W1218" i="31" a="1"/>
  <c r="W1218" i="31"/>
  <c r="V1218" i="31" a="1"/>
  <c r="V1218" i="31"/>
  <c r="U1217" i="31" a="1"/>
  <c r="U1217" i="31"/>
  <c r="W1217" i="31" a="1"/>
  <c r="W1217" i="31"/>
  <c r="V1217" i="31" a="1"/>
  <c r="V1217" i="31"/>
  <c r="U1216" i="31" a="1"/>
  <c r="U1216" i="31"/>
  <c r="W1216" i="31" a="1"/>
  <c r="W1216" i="31"/>
  <c r="V1216" i="31" a="1"/>
  <c r="V1216" i="31"/>
  <c r="U1215" i="31" a="1"/>
  <c r="U1215" i="31"/>
  <c r="W1215" i="31" a="1"/>
  <c r="W1215" i="31"/>
  <c r="V1215" i="31" a="1"/>
  <c r="V1215" i="31"/>
  <c r="U1214" i="31" a="1"/>
  <c r="U1214" i="31"/>
  <c r="W1214" i="31" a="1"/>
  <c r="W1214" i="31"/>
  <c r="V1214" i="31" a="1"/>
  <c r="V1214" i="31"/>
  <c r="U1213" i="31" a="1"/>
  <c r="U1213" i="31"/>
  <c r="W1213" i="31" a="1"/>
  <c r="W1213" i="31"/>
  <c r="V1213" i="31" a="1"/>
  <c r="V1213" i="31"/>
  <c r="U1212" i="31" a="1"/>
  <c r="U1212" i="31"/>
  <c r="W1212" i="31" a="1"/>
  <c r="W1212" i="31"/>
  <c r="V1212" i="31" a="1"/>
  <c r="V1212" i="31"/>
  <c r="U1211" i="31" a="1"/>
  <c r="U1211" i="31"/>
  <c r="W1211" i="31" a="1"/>
  <c r="W1211" i="31"/>
  <c r="V1211" i="31" a="1"/>
  <c r="V1211" i="31"/>
  <c r="U1210" i="31" a="1"/>
  <c r="U1210" i="31"/>
  <c r="W1210" i="31" a="1"/>
  <c r="W1210" i="31"/>
  <c r="V1210" i="31" a="1"/>
  <c r="V1210" i="31"/>
  <c r="U1209" i="31" a="1"/>
  <c r="U1209" i="31"/>
  <c r="W1209" i="31" a="1"/>
  <c r="W1209" i="31"/>
  <c r="V1209" i="31" a="1"/>
  <c r="V1209" i="31"/>
  <c r="U1208" i="31" a="1"/>
  <c r="U1208" i="31"/>
  <c r="W1208" i="31" a="1"/>
  <c r="W1208" i="31"/>
  <c r="V1208" i="31" a="1"/>
  <c r="V1208" i="31"/>
  <c r="U1207" i="31" a="1"/>
  <c r="U1207" i="31"/>
  <c r="W1207" i="31" a="1"/>
  <c r="W1207" i="31"/>
  <c r="V1207" i="31" a="1"/>
  <c r="V1207" i="31"/>
  <c r="U1206" i="31" a="1"/>
  <c r="U1206" i="31"/>
  <c r="W1206" i="31" a="1"/>
  <c r="W1206" i="31"/>
  <c r="V1206" i="31" a="1"/>
  <c r="V1206" i="31"/>
  <c r="U1205" i="31" a="1"/>
  <c r="U1205" i="31"/>
  <c r="W1205" i="31" a="1"/>
  <c r="W1205" i="31"/>
  <c r="V1205" i="31" a="1"/>
  <c r="V1205" i="31"/>
  <c r="U1204" i="31" a="1"/>
  <c r="U1204" i="31"/>
  <c r="W1204" i="31" a="1"/>
  <c r="W1204" i="31"/>
  <c r="V1204" i="31" a="1"/>
  <c r="V1204" i="31"/>
  <c r="U1203" i="31" a="1"/>
  <c r="U1203" i="31"/>
  <c r="W1203" i="31" a="1"/>
  <c r="W1203" i="31"/>
  <c r="V1203" i="31" a="1"/>
  <c r="V1203" i="31"/>
  <c r="U1202" i="31" a="1"/>
  <c r="U1202" i="31"/>
  <c r="W1202" i="31" a="1"/>
  <c r="W1202" i="31"/>
  <c r="V1202" i="31" a="1"/>
  <c r="V1202" i="31"/>
  <c r="U1201" i="31" a="1"/>
  <c r="U1201" i="31"/>
  <c r="W1201" i="31" a="1"/>
  <c r="W1201" i="31"/>
  <c r="V1201" i="31" a="1"/>
  <c r="V1201" i="31"/>
  <c r="U1200" i="31" a="1"/>
  <c r="U1200" i="31"/>
  <c r="W1200" i="31" a="1"/>
  <c r="W1200" i="31"/>
  <c r="V1200" i="31" a="1"/>
  <c r="V1200" i="31"/>
  <c r="U1199" i="31" a="1"/>
  <c r="U1199" i="31"/>
  <c r="W1199" i="31" a="1"/>
  <c r="W1199" i="31"/>
  <c r="V1199" i="31" a="1"/>
  <c r="V1199" i="31"/>
  <c r="U1198" i="31" a="1"/>
  <c r="U1198" i="31"/>
  <c r="W1198" i="31" a="1"/>
  <c r="W1198" i="31"/>
  <c r="V1198" i="31" a="1"/>
  <c r="V1198" i="31"/>
  <c r="U1197" i="31" a="1"/>
  <c r="U1197" i="31"/>
  <c r="W1197" i="31" a="1"/>
  <c r="W1197" i="31"/>
  <c r="V1197" i="31" a="1"/>
  <c r="V1197" i="31"/>
  <c r="U1196" i="31" a="1"/>
  <c r="U1196" i="31"/>
  <c r="W1196" i="31" a="1"/>
  <c r="W1196" i="31"/>
  <c r="V1196" i="31" a="1"/>
  <c r="V1196" i="31"/>
  <c r="U1195" i="31" a="1"/>
  <c r="U1195" i="31"/>
  <c r="W1195" i="31" a="1"/>
  <c r="W1195" i="31"/>
  <c r="V1195" i="31" a="1"/>
  <c r="V1195" i="31"/>
  <c r="U1194" i="31" a="1"/>
  <c r="U1194" i="31"/>
  <c r="W1194" i="31" a="1"/>
  <c r="W1194" i="31"/>
  <c r="V1194" i="31" a="1"/>
  <c r="V1194" i="31"/>
  <c r="U1193" i="31" a="1"/>
  <c r="U1193" i="31"/>
  <c r="W1193" i="31" a="1"/>
  <c r="W1193" i="31"/>
  <c r="V1193" i="31" a="1"/>
  <c r="V1193" i="31"/>
  <c r="U1192" i="31" a="1"/>
  <c r="U1192" i="31"/>
  <c r="W1192" i="31" a="1"/>
  <c r="W1192" i="31"/>
  <c r="V1192" i="31" a="1"/>
  <c r="V1192" i="31"/>
  <c r="U1191" i="31" a="1"/>
  <c r="U1191" i="31"/>
  <c r="W1191" i="31" a="1"/>
  <c r="W1191" i="31"/>
  <c r="V1191" i="31" a="1"/>
  <c r="V1191" i="31"/>
  <c r="U1190" i="31" a="1"/>
  <c r="U1190" i="31"/>
  <c r="W1190" i="31" a="1"/>
  <c r="W1190" i="31"/>
  <c r="V1190" i="31" a="1"/>
  <c r="V1190" i="31"/>
  <c r="U1189" i="31" a="1"/>
  <c r="U1189" i="31"/>
  <c r="W1189" i="31" a="1"/>
  <c r="W1189" i="31"/>
  <c r="V1189" i="31" a="1"/>
  <c r="V1189" i="31"/>
  <c r="U1188" i="31" a="1"/>
  <c r="U1188" i="31"/>
  <c r="W1188" i="31" a="1"/>
  <c r="W1188" i="31"/>
  <c r="V1188" i="31" a="1"/>
  <c r="V1188" i="31"/>
  <c r="U1187" i="31" a="1"/>
  <c r="U1187" i="31"/>
  <c r="W1187" i="31" a="1"/>
  <c r="W1187" i="31"/>
  <c r="V1187" i="31" a="1"/>
  <c r="V1187" i="31"/>
  <c r="U1186" i="31" a="1"/>
  <c r="U1186" i="31"/>
  <c r="W1186" i="31" a="1"/>
  <c r="W1186" i="31"/>
  <c r="V1186" i="31" a="1"/>
  <c r="V1186" i="31"/>
  <c r="U1185" i="31" a="1"/>
  <c r="U1185" i="31"/>
  <c r="W1185" i="31" a="1"/>
  <c r="W1185" i="31"/>
  <c r="V1185" i="31" a="1"/>
  <c r="V1185" i="31"/>
  <c r="U1184" i="31" a="1"/>
  <c r="U1184" i="31"/>
  <c r="W1184" i="31" a="1"/>
  <c r="W1184" i="31"/>
  <c r="V1184" i="31" a="1"/>
  <c r="V1184" i="31"/>
  <c r="U1183" i="31" a="1"/>
  <c r="U1183" i="31"/>
  <c r="W1183" i="31" a="1"/>
  <c r="W1183" i="31"/>
  <c r="V1183" i="31" a="1"/>
  <c r="V1183" i="31"/>
  <c r="U1182" i="31" a="1"/>
  <c r="U1182" i="31"/>
  <c r="W1182" i="31" a="1"/>
  <c r="W1182" i="31"/>
  <c r="V1182" i="31" a="1"/>
  <c r="V1182" i="31"/>
  <c r="U1181" i="31" a="1"/>
  <c r="U1181" i="31"/>
  <c r="W1181" i="31" a="1"/>
  <c r="W1181" i="31"/>
  <c r="V1181" i="31" a="1"/>
  <c r="V1181" i="31"/>
  <c r="U1180" i="31" a="1"/>
  <c r="U1180" i="31"/>
  <c r="W1180" i="31" a="1"/>
  <c r="W1180" i="31"/>
  <c r="V1180" i="31" a="1"/>
  <c r="V1180" i="31"/>
  <c r="U1179" i="31" a="1"/>
  <c r="U1179" i="31"/>
  <c r="W1179" i="31" a="1"/>
  <c r="W1179" i="31"/>
  <c r="V1179" i="31" a="1"/>
  <c r="V1179" i="31"/>
  <c r="U1178" i="31" a="1"/>
  <c r="U1178" i="31"/>
  <c r="W1178" i="31" a="1"/>
  <c r="W1178" i="31"/>
  <c r="V1178" i="31" a="1"/>
  <c r="V1178" i="31"/>
  <c r="U1177" i="31" a="1"/>
  <c r="U1177" i="31"/>
  <c r="W1177" i="31" a="1"/>
  <c r="W1177" i="31"/>
  <c r="V1177" i="31" a="1"/>
  <c r="V1177" i="31"/>
  <c r="U1176" i="31" a="1"/>
  <c r="U1176" i="31"/>
  <c r="W1176" i="31" a="1"/>
  <c r="W1176" i="31"/>
  <c r="V1176" i="31" a="1"/>
  <c r="V1176" i="31"/>
  <c r="U1175" i="31" a="1"/>
  <c r="U1175" i="31"/>
  <c r="W1175" i="31" a="1"/>
  <c r="W1175" i="31"/>
  <c r="V1175" i="31" a="1"/>
  <c r="V1175" i="31"/>
  <c r="U1174" i="31" a="1"/>
  <c r="U1174" i="31"/>
  <c r="W1174" i="31" a="1"/>
  <c r="W1174" i="31"/>
  <c r="V1174" i="31" a="1"/>
  <c r="V1174" i="31"/>
  <c r="U1173" i="31" a="1"/>
  <c r="U1173" i="31"/>
  <c r="W1173" i="31" a="1"/>
  <c r="W1173" i="31"/>
  <c r="V1173" i="31" a="1"/>
  <c r="V1173" i="31"/>
  <c r="U1172" i="31" a="1"/>
  <c r="U1172" i="31"/>
  <c r="W1172" i="31" a="1"/>
  <c r="W1172" i="31"/>
  <c r="V1172" i="31" a="1"/>
  <c r="V1172" i="31"/>
  <c r="U1171" i="31" a="1"/>
  <c r="U1171" i="31"/>
  <c r="W1171" i="31" a="1"/>
  <c r="W1171" i="31"/>
  <c r="V1171" i="31" a="1"/>
  <c r="V1171" i="31"/>
  <c r="U1170" i="31" a="1"/>
  <c r="U1170" i="31"/>
  <c r="W1170" i="31" a="1"/>
  <c r="W1170" i="31"/>
  <c r="V1170" i="31" a="1"/>
  <c r="V1170" i="31"/>
  <c r="U1169" i="31" a="1"/>
  <c r="U1169" i="31"/>
  <c r="W1169" i="31" a="1"/>
  <c r="W1169" i="31"/>
  <c r="V1169" i="31" a="1"/>
  <c r="V1169" i="31"/>
  <c r="U1168" i="31" a="1"/>
  <c r="U1168" i="31"/>
  <c r="W1168" i="31" a="1"/>
  <c r="W1168" i="31"/>
  <c r="V1168" i="31" a="1"/>
  <c r="V1168" i="31"/>
  <c r="U1167" i="31" a="1"/>
  <c r="U1167" i="31"/>
  <c r="W1167" i="31" a="1"/>
  <c r="W1167" i="31"/>
  <c r="V1167" i="31" a="1"/>
  <c r="V1167" i="31"/>
  <c r="U1166" i="31" a="1"/>
  <c r="U1166" i="31"/>
  <c r="W1166" i="31" a="1"/>
  <c r="W1166" i="31"/>
  <c r="V1166" i="31" a="1"/>
  <c r="V1166" i="31"/>
  <c r="U1165" i="31" a="1"/>
  <c r="U1165" i="31"/>
  <c r="W1165" i="31" a="1"/>
  <c r="W1165" i="31"/>
  <c r="V1165" i="31" a="1"/>
  <c r="V1165" i="31"/>
  <c r="U1164" i="31" a="1"/>
  <c r="U1164" i="31"/>
  <c r="W1164" i="31" a="1"/>
  <c r="W1164" i="31"/>
  <c r="V1164" i="31" a="1"/>
  <c r="V1164" i="31"/>
  <c r="U1163" i="31" a="1"/>
  <c r="U1163" i="31"/>
  <c r="W1163" i="31" a="1"/>
  <c r="W1163" i="31"/>
  <c r="V1163" i="31" a="1"/>
  <c r="V1163" i="31"/>
  <c r="U1162" i="31" a="1"/>
  <c r="U1162" i="31"/>
  <c r="W1162" i="31" a="1"/>
  <c r="W1162" i="31"/>
  <c r="V1162" i="31" a="1"/>
  <c r="V1162" i="31"/>
  <c r="U1161" i="31" a="1"/>
  <c r="U1161" i="31"/>
  <c r="W1161" i="31" a="1"/>
  <c r="W1161" i="31"/>
  <c r="V1161" i="31" a="1"/>
  <c r="V1161" i="31"/>
  <c r="U1160" i="31" a="1"/>
  <c r="U1160" i="31"/>
  <c r="W1160" i="31" a="1"/>
  <c r="W1160" i="31"/>
  <c r="V1160" i="31" a="1"/>
  <c r="V1160" i="31"/>
  <c r="U1159" i="31" a="1"/>
  <c r="U1159" i="31"/>
  <c r="W1159" i="31" a="1"/>
  <c r="W1159" i="31"/>
  <c r="V1159" i="31" a="1"/>
  <c r="V1159" i="31"/>
  <c r="U1158" i="31" a="1"/>
  <c r="U1158" i="31"/>
  <c r="W1158" i="31" a="1"/>
  <c r="W1158" i="31"/>
  <c r="V1158" i="31" a="1"/>
  <c r="V1158" i="31"/>
  <c r="U1157" i="31" a="1"/>
  <c r="U1157" i="31"/>
  <c r="W1157" i="31" a="1"/>
  <c r="W1157" i="31"/>
  <c r="V1157" i="31" a="1"/>
  <c r="V1157" i="31"/>
  <c r="U1156" i="31" a="1"/>
  <c r="U1156" i="31"/>
  <c r="W1156" i="31" a="1"/>
  <c r="W1156" i="31"/>
  <c r="V1156" i="31" a="1"/>
  <c r="V1156" i="31"/>
  <c r="U1155" i="31" a="1"/>
  <c r="U1155" i="31"/>
  <c r="W1155" i="31" a="1"/>
  <c r="W1155" i="31"/>
  <c r="V1155" i="31" a="1"/>
  <c r="V1155" i="31"/>
  <c r="U1154" i="31" a="1"/>
  <c r="U1154" i="31"/>
  <c r="W1154" i="31" a="1"/>
  <c r="W1154" i="31"/>
  <c r="V1154" i="31" a="1"/>
  <c r="V1154" i="31"/>
  <c r="U1153" i="31" a="1"/>
  <c r="U1153" i="31"/>
  <c r="W1153" i="31" a="1"/>
  <c r="W1153" i="31"/>
  <c r="V1153" i="31" a="1"/>
  <c r="V1153" i="31"/>
  <c r="U1152" i="31" a="1"/>
  <c r="U1152" i="31"/>
  <c r="W1152" i="31" a="1"/>
  <c r="W1152" i="31"/>
  <c r="V1152" i="31" a="1"/>
  <c r="V1152" i="31"/>
  <c r="U1151" i="31" a="1"/>
  <c r="U1151" i="31"/>
  <c r="W1151" i="31" a="1"/>
  <c r="W1151" i="31"/>
  <c r="V1151" i="31" a="1"/>
  <c r="V1151" i="31"/>
  <c r="U1150" i="31" a="1"/>
  <c r="U1150" i="31"/>
  <c r="W1150" i="31" a="1"/>
  <c r="W1150" i="31"/>
  <c r="V1150" i="31" a="1"/>
  <c r="V1150" i="31"/>
  <c r="U1149" i="31" a="1"/>
  <c r="U1149" i="31"/>
  <c r="W1149" i="31" a="1"/>
  <c r="W1149" i="31"/>
  <c r="V1149" i="31" a="1"/>
  <c r="V1149" i="31"/>
  <c r="U1148" i="31" a="1"/>
  <c r="U1148" i="31"/>
  <c r="W1148" i="31" a="1"/>
  <c r="W1148" i="31"/>
  <c r="V1148" i="31" a="1"/>
  <c r="V1148" i="31"/>
  <c r="U1147" i="31" a="1"/>
  <c r="U1147" i="31"/>
  <c r="W1147" i="31" a="1"/>
  <c r="W1147" i="31"/>
  <c r="V1147" i="31" a="1"/>
  <c r="V1147" i="31"/>
  <c r="U1146" i="31" a="1"/>
  <c r="U1146" i="31"/>
  <c r="W1146" i="31" a="1"/>
  <c r="W1146" i="31"/>
  <c r="V1146" i="31" a="1"/>
  <c r="V1146" i="31"/>
  <c r="U1145" i="31" a="1"/>
  <c r="U1145" i="31"/>
  <c r="W1145" i="31" a="1"/>
  <c r="W1145" i="31"/>
  <c r="V1145" i="31" a="1"/>
  <c r="V1145" i="31"/>
  <c r="U1144" i="31" a="1"/>
  <c r="U1144" i="31"/>
  <c r="W1144" i="31" a="1"/>
  <c r="W1144" i="31"/>
  <c r="V1144" i="31" a="1"/>
  <c r="V1144" i="31"/>
  <c r="U1143" i="31" a="1"/>
  <c r="U1143" i="31"/>
  <c r="W1143" i="31" a="1"/>
  <c r="W1143" i="31"/>
  <c r="V1143" i="31" a="1"/>
  <c r="V1143" i="31"/>
  <c r="U1142" i="31" a="1"/>
  <c r="U1142" i="31"/>
  <c r="W1142" i="31" a="1"/>
  <c r="W1142" i="31"/>
  <c r="V1142" i="31" a="1"/>
  <c r="V1142" i="31"/>
  <c r="U1141" i="31" a="1"/>
  <c r="U1141" i="31"/>
  <c r="W1141" i="31" a="1"/>
  <c r="W1141" i="31"/>
  <c r="V1141" i="31" a="1"/>
  <c r="V1141" i="31"/>
  <c r="U1140" i="31" a="1"/>
  <c r="U1140" i="31"/>
  <c r="W1140" i="31" a="1"/>
  <c r="W1140" i="31"/>
  <c r="V1140" i="31" a="1"/>
  <c r="V1140" i="31"/>
  <c r="U1139" i="31" a="1"/>
  <c r="U1139" i="31"/>
  <c r="W1139" i="31" a="1"/>
  <c r="W1139" i="31"/>
  <c r="V1139" i="31" a="1"/>
  <c r="V1139" i="31"/>
  <c r="U1138" i="31" a="1"/>
  <c r="U1138" i="31"/>
  <c r="W1138" i="31" a="1"/>
  <c r="W1138" i="31"/>
  <c r="V1138" i="31" a="1"/>
  <c r="V1138" i="31"/>
  <c r="U1137" i="31" a="1"/>
  <c r="U1137" i="31"/>
  <c r="W1137" i="31" a="1"/>
  <c r="W1137" i="31"/>
  <c r="V1137" i="31" a="1"/>
  <c r="V1137" i="31"/>
  <c r="U1136" i="31" a="1"/>
  <c r="U1136" i="31"/>
  <c r="W1136" i="31" a="1"/>
  <c r="W1136" i="31"/>
  <c r="V1136" i="31" a="1"/>
  <c r="V1136" i="31"/>
  <c r="U1135" i="31" a="1"/>
  <c r="U1135" i="31"/>
  <c r="W1135" i="31" a="1"/>
  <c r="W1135" i="31"/>
  <c r="V1135" i="31" a="1"/>
  <c r="V1135" i="31"/>
  <c r="U1134" i="31" a="1"/>
  <c r="U1134" i="31"/>
  <c r="W1134" i="31" a="1"/>
  <c r="W1134" i="31"/>
  <c r="V1134" i="31" a="1"/>
  <c r="V1134" i="31"/>
  <c r="U1133" i="31" a="1"/>
  <c r="U1133" i="31"/>
  <c r="W1133" i="31" a="1"/>
  <c r="W1133" i="31"/>
  <c r="V1133" i="31" a="1"/>
  <c r="V1133" i="31"/>
  <c r="U1132" i="31" a="1"/>
  <c r="U1132" i="31"/>
  <c r="W1132" i="31" a="1"/>
  <c r="W1132" i="31"/>
  <c r="V1132" i="31" a="1"/>
  <c r="V1132" i="31"/>
  <c r="U1131" i="31" a="1"/>
  <c r="U1131" i="31"/>
  <c r="W1131" i="31" a="1"/>
  <c r="W1131" i="31"/>
  <c r="V1131" i="31" a="1"/>
  <c r="V1131" i="31"/>
  <c r="U1130" i="31" a="1"/>
  <c r="U1130" i="31"/>
  <c r="W1130" i="31" a="1"/>
  <c r="W1130" i="31"/>
  <c r="V1130" i="31" a="1"/>
  <c r="V1130" i="31"/>
  <c r="U1129" i="31" a="1"/>
  <c r="U1129" i="31"/>
  <c r="W1129" i="31" a="1"/>
  <c r="W1129" i="31"/>
  <c r="V1129" i="31" a="1"/>
  <c r="V1129" i="31"/>
  <c r="U1128" i="31" a="1"/>
  <c r="U1128" i="31"/>
  <c r="W1128" i="31" a="1"/>
  <c r="W1128" i="31"/>
  <c r="V1128" i="31" a="1"/>
  <c r="V1128" i="31"/>
  <c r="U1127" i="31" a="1"/>
  <c r="U1127" i="31"/>
  <c r="W1127" i="31" a="1"/>
  <c r="W1127" i="31"/>
  <c r="V1127" i="31" a="1"/>
  <c r="V1127" i="31"/>
  <c r="U1126" i="31" a="1"/>
  <c r="U1126" i="31"/>
  <c r="W1126" i="31" a="1"/>
  <c r="W1126" i="31"/>
  <c r="V1126" i="31" a="1"/>
  <c r="V1126" i="31"/>
  <c r="U1125" i="31" a="1"/>
  <c r="U1125" i="31"/>
  <c r="W1125" i="31" a="1"/>
  <c r="W1125" i="31"/>
  <c r="V1125" i="31" a="1"/>
  <c r="V1125" i="31"/>
  <c r="U1124" i="31" a="1"/>
  <c r="U1124" i="31"/>
  <c r="W1124" i="31" a="1"/>
  <c r="W1124" i="31"/>
  <c r="V1124" i="31" a="1"/>
  <c r="V1124" i="31"/>
  <c r="U1123" i="31" a="1"/>
  <c r="U1123" i="31"/>
  <c r="W1123" i="31" a="1"/>
  <c r="W1123" i="31"/>
  <c r="V1123" i="31" a="1"/>
  <c r="V1123" i="31"/>
  <c r="U1122" i="31" a="1"/>
  <c r="U1122" i="31"/>
  <c r="W1122" i="31" a="1"/>
  <c r="W1122" i="31"/>
  <c r="V1122" i="31" a="1"/>
  <c r="V1122" i="31"/>
  <c r="U1121" i="31" a="1"/>
  <c r="U1121" i="31"/>
  <c r="W1121" i="31" a="1"/>
  <c r="W1121" i="31"/>
  <c r="V1121" i="31" a="1"/>
  <c r="V1121" i="31"/>
  <c r="U1120" i="31" a="1"/>
  <c r="U1120" i="31"/>
  <c r="W1120" i="31" a="1"/>
  <c r="W1120" i="31"/>
  <c r="V1120" i="31" a="1"/>
  <c r="V1120" i="31"/>
  <c r="U1119" i="31" a="1"/>
  <c r="U1119" i="31"/>
  <c r="W1119" i="31" a="1"/>
  <c r="W1119" i="31"/>
  <c r="V1119" i="31" a="1"/>
  <c r="V1119" i="31"/>
  <c r="U1118" i="31" a="1"/>
  <c r="U1118" i="31"/>
  <c r="W1118" i="31" a="1"/>
  <c r="W1118" i="31"/>
  <c r="V1118" i="31" a="1"/>
  <c r="V1118" i="31"/>
  <c r="U1117" i="31" a="1"/>
  <c r="U1117" i="31"/>
  <c r="W1117" i="31" a="1"/>
  <c r="W1117" i="31"/>
  <c r="V1117" i="31" a="1"/>
  <c r="V1117" i="31"/>
  <c r="U1116" i="31" a="1"/>
  <c r="U1116" i="31"/>
  <c r="W1116" i="31" a="1"/>
  <c r="W1116" i="31"/>
  <c r="V1116" i="31" a="1"/>
  <c r="V1116" i="31"/>
  <c r="U1115" i="31" a="1"/>
  <c r="U1115" i="31"/>
  <c r="W1115" i="31" a="1"/>
  <c r="W1115" i="31"/>
  <c r="V1115" i="31" a="1"/>
  <c r="V1115" i="31"/>
  <c r="U1114" i="31" a="1"/>
  <c r="U1114" i="31"/>
  <c r="W1114" i="31" a="1"/>
  <c r="W1114" i="31"/>
  <c r="V1114" i="31" a="1"/>
  <c r="V1114" i="31"/>
  <c r="U1113" i="31" a="1"/>
  <c r="U1113" i="31"/>
  <c r="W1113" i="31" a="1"/>
  <c r="W1113" i="31"/>
  <c r="V1113" i="31" a="1"/>
  <c r="V1113" i="31"/>
  <c r="U1112" i="31" a="1"/>
  <c r="U1112" i="31"/>
  <c r="W1112" i="31" a="1"/>
  <c r="W1112" i="31"/>
  <c r="V1112" i="31" a="1"/>
  <c r="V1112" i="31"/>
  <c r="U1111" i="31" a="1"/>
  <c r="U1111" i="31"/>
  <c r="W1111" i="31" a="1"/>
  <c r="W1111" i="31"/>
  <c r="V1111" i="31" a="1"/>
  <c r="V1111" i="31"/>
  <c r="U1110" i="31" a="1"/>
  <c r="U1110" i="31"/>
  <c r="W1110" i="31" a="1"/>
  <c r="W1110" i="31"/>
  <c r="V1110" i="31" a="1"/>
  <c r="V1110" i="31"/>
  <c r="U1109" i="31" a="1"/>
  <c r="U1109" i="31"/>
  <c r="W1109" i="31" a="1"/>
  <c r="W1109" i="31"/>
  <c r="V1109" i="31" a="1"/>
  <c r="V1109" i="31"/>
  <c r="U1108" i="31" a="1"/>
  <c r="U1108" i="31"/>
  <c r="W1108" i="31" a="1"/>
  <c r="W1108" i="31"/>
  <c r="V1108" i="31" a="1"/>
  <c r="V1108" i="31"/>
  <c r="U1107" i="31" a="1"/>
  <c r="U1107" i="31"/>
  <c r="W1107" i="31" a="1"/>
  <c r="W1107" i="31"/>
  <c r="V1107" i="31" a="1"/>
  <c r="V1107" i="31"/>
  <c r="U1106" i="31" a="1"/>
  <c r="U1106" i="31"/>
  <c r="W1106" i="31" a="1"/>
  <c r="W1106" i="31"/>
  <c r="V1106" i="31" a="1"/>
  <c r="V1106" i="31"/>
  <c r="U1105" i="31" a="1"/>
  <c r="U1105" i="31"/>
  <c r="W1105" i="31" a="1"/>
  <c r="W1105" i="31"/>
  <c r="V1105" i="31" a="1"/>
  <c r="V1105" i="31"/>
  <c r="U1104" i="31" a="1"/>
  <c r="U1104" i="31"/>
  <c r="W1104" i="31" a="1"/>
  <c r="W1104" i="31"/>
  <c r="V1104" i="31" a="1"/>
  <c r="V1104" i="31"/>
  <c r="U1103" i="31" a="1"/>
  <c r="U1103" i="31"/>
  <c r="W1103" i="31" a="1"/>
  <c r="W1103" i="31"/>
  <c r="V1103" i="31" a="1"/>
  <c r="V1103" i="31"/>
  <c r="U1102" i="31" a="1"/>
  <c r="U1102" i="31"/>
  <c r="W1102" i="31" a="1"/>
  <c r="W1102" i="31"/>
  <c r="V1102" i="31" a="1"/>
  <c r="V1102" i="31"/>
  <c r="U1101" i="31" a="1"/>
  <c r="U1101" i="31"/>
  <c r="W1101" i="31" a="1"/>
  <c r="W1101" i="31"/>
  <c r="V1101" i="31" a="1"/>
  <c r="V1101" i="31"/>
  <c r="U1100" i="31" a="1"/>
  <c r="U1100" i="31"/>
  <c r="W1100" i="31" a="1"/>
  <c r="W1100" i="31"/>
  <c r="V1100" i="31" a="1"/>
  <c r="V1100" i="31"/>
  <c r="U1099" i="31" a="1"/>
  <c r="U1099" i="31"/>
  <c r="W1099" i="31" a="1"/>
  <c r="W1099" i="31"/>
  <c r="V1099" i="31" a="1"/>
  <c r="V1099" i="31"/>
  <c r="U1098" i="31" a="1"/>
  <c r="U1098" i="31"/>
  <c r="W1098" i="31" a="1"/>
  <c r="W1098" i="31"/>
  <c r="V1098" i="31" a="1"/>
  <c r="V1098" i="31"/>
  <c r="U1097" i="31" a="1"/>
  <c r="U1097" i="31"/>
  <c r="W1097" i="31" a="1"/>
  <c r="W1097" i="31"/>
  <c r="V1097" i="31" a="1"/>
  <c r="V1097" i="31"/>
  <c r="U1096" i="31" a="1"/>
  <c r="U1096" i="31"/>
  <c r="W1096" i="31" a="1"/>
  <c r="W1096" i="31"/>
  <c r="V1096" i="31" a="1"/>
  <c r="V1096" i="31"/>
  <c r="U1095" i="31" a="1"/>
  <c r="U1095" i="31"/>
  <c r="W1095" i="31" a="1"/>
  <c r="W1095" i="31"/>
  <c r="V1095" i="31" a="1"/>
  <c r="V1095" i="31"/>
  <c r="U1094" i="31" a="1"/>
  <c r="U1094" i="31"/>
  <c r="W1094" i="31" a="1"/>
  <c r="W1094" i="31"/>
  <c r="V1094" i="31" a="1"/>
  <c r="V1094" i="31"/>
  <c r="U1093" i="31" a="1"/>
  <c r="U1093" i="31"/>
  <c r="W1093" i="31" a="1"/>
  <c r="W1093" i="31"/>
  <c r="V1093" i="31" a="1"/>
  <c r="V1093" i="31"/>
  <c r="U1092" i="31" a="1"/>
  <c r="U1092" i="31"/>
  <c r="W1092" i="31" a="1"/>
  <c r="W1092" i="31"/>
  <c r="V1092" i="31" a="1"/>
  <c r="V1092" i="31"/>
  <c r="U1091" i="31" a="1"/>
  <c r="U1091" i="31"/>
  <c r="W1091" i="31" a="1"/>
  <c r="W1091" i="31"/>
  <c r="V1091" i="31" a="1"/>
  <c r="V1091" i="31"/>
  <c r="U1090" i="31" a="1"/>
  <c r="U1090" i="31"/>
  <c r="W1090" i="31" a="1"/>
  <c r="W1090" i="31"/>
  <c r="V1090" i="31" a="1"/>
  <c r="V1090" i="31"/>
  <c r="U1089" i="31" a="1"/>
  <c r="U1089" i="31"/>
  <c r="W1089" i="31" a="1"/>
  <c r="W1089" i="31"/>
  <c r="V1089" i="31" a="1"/>
  <c r="V1089" i="31"/>
  <c r="U1088" i="31" a="1"/>
  <c r="U1088" i="31"/>
  <c r="W1088" i="31" a="1"/>
  <c r="W1088" i="31"/>
  <c r="V1088" i="31" a="1"/>
  <c r="V1088" i="31"/>
  <c r="U1087" i="31" a="1"/>
  <c r="U1087" i="31"/>
  <c r="W1087" i="31" a="1"/>
  <c r="W1087" i="31"/>
  <c r="V1087" i="31" a="1"/>
  <c r="V1087" i="31"/>
  <c r="U1086" i="31" a="1"/>
  <c r="U1086" i="31"/>
  <c r="W1086" i="31" a="1"/>
  <c r="W1086" i="31"/>
  <c r="V1086" i="31" a="1"/>
  <c r="V1086" i="31"/>
  <c r="U1085" i="31" a="1"/>
  <c r="U1085" i="31"/>
  <c r="W1085" i="31" a="1"/>
  <c r="W1085" i="31"/>
  <c r="V1085" i="31" a="1"/>
  <c r="V1085" i="31"/>
  <c r="U1084" i="31" a="1"/>
  <c r="U1084" i="31"/>
  <c r="W1084" i="31" a="1"/>
  <c r="W1084" i="31"/>
  <c r="V1084" i="31" a="1"/>
  <c r="V1084" i="31"/>
  <c r="U1083" i="31" a="1"/>
  <c r="U1083" i="31"/>
  <c r="W1083" i="31" a="1"/>
  <c r="W1083" i="31"/>
  <c r="V1083" i="31" a="1"/>
  <c r="V1083" i="31"/>
  <c r="U1082" i="31" a="1"/>
  <c r="U1082" i="31"/>
  <c r="W1082" i="31" a="1"/>
  <c r="W1082" i="31"/>
  <c r="V1082" i="31" a="1"/>
  <c r="V1082" i="31"/>
  <c r="U1081" i="31" a="1"/>
  <c r="U1081" i="31"/>
  <c r="W1081" i="31" a="1"/>
  <c r="W1081" i="31"/>
  <c r="V1081" i="31" a="1"/>
  <c r="V1081" i="31"/>
  <c r="U1080" i="31" a="1"/>
  <c r="U1080" i="31"/>
  <c r="W1080" i="31" a="1"/>
  <c r="W1080" i="31"/>
  <c r="V1080" i="31" a="1"/>
  <c r="V1080" i="31"/>
  <c r="U1079" i="31" a="1"/>
  <c r="U1079" i="31"/>
  <c r="W1079" i="31" a="1"/>
  <c r="W1079" i="31"/>
  <c r="V1079" i="31" a="1"/>
  <c r="V1079" i="31"/>
  <c r="U1078" i="31" a="1"/>
  <c r="U1078" i="31"/>
  <c r="W1078" i="31" a="1"/>
  <c r="W1078" i="31"/>
  <c r="V1078" i="31" a="1"/>
  <c r="V1078" i="31"/>
  <c r="U1077" i="31" a="1"/>
  <c r="U1077" i="31"/>
  <c r="W1077" i="31" a="1"/>
  <c r="W1077" i="31"/>
  <c r="V1077" i="31" a="1"/>
  <c r="V1077" i="31"/>
  <c r="U1076" i="31" a="1"/>
  <c r="U1076" i="31"/>
  <c r="W1076" i="31" a="1"/>
  <c r="W1076" i="31"/>
  <c r="V1076" i="31" a="1"/>
  <c r="V1076" i="31"/>
  <c r="U1075" i="31" a="1"/>
  <c r="U1075" i="31"/>
  <c r="W1075" i="31" a="1"/>
  <c r="W1075" i="31"/>
  <c r="V1075" i="31" a="1"/>
  <c r="V1075" i="31"/>
  <c r="U1074" i="31" a="1"/>
  <c r="U1074" i="31"/>
  <c r="W1074" i="31" a="1"/>
  <c r="W1074" i="31"/>
  <c r="V1074" i="31" a="1"/>
  <c r="V1074" i="31"/>
  <c r="U1073" i="31" a="1"/>
  <c r="U1073" i="31"/>
  <c r="W1073" i="31" a="1"/>
  <c r="W1073" i="31"/>
  <c r="V1073" i="31" a="1"/>
  <c r="V1073" i="31"/>
  <c r="U1072" i="31" a="1"/>
  <c r="U1072" i="31"/>
  <c r="W1072" i="31" a="1"/>
  <c r="W1072" i="31"/>
  <c r="V1072" i="31" a="1"/>
  <c r="V1072" i="31"/>
  <c r="U1071" i="31" a="1"/>
  <c r="U1071" i="31"/>
  <c r="W1071" i="31" a="1"/>
  <c r="W1071" i="31"/>
  <c r="V1071" i="31" a="1"/>
  <c r="V1071" i="31"/>
  <c r="U1070" i="31" a="1"/>
  <c r="U1070" i="31"/>
  <c r="W1070" i="31" a="1"/>
  <c r="W1070" i="31"/>
  <c r="V1070" i="31" a="1"/>
  <c r="V1070" i="31"/>
  <c r="U1069" i="31" a="1"/>
  <c r="U1069" i="31"/>
  <c r="W1069" i="31" a="1"/>
  <c r="W1069" i="31"/>
  <c r="V1069" i="31" a="1"/>
  <c r="V1069" i="31"/>
  <c r="U1068" i="31" a="1"/>
  <c r="U1068" i="31"/>
  <c r="W1068" i="31" a="1"/>
  <c r="W1068" i="31"/>
  <c r="V1068" i="31" a="1"/>
  <c r="V1068" i="31"/>
  <c r="U1067" i="31" a="1"/>
  <c r="U1067" i="31"/>
  <c r="W1067" i="31" a="1"/>
  <c r="W1067" i="31"/>
  <c r="V1067" i="31" a="1"/>
  <c r="V1067" i="31"/>
  <c r="U1066" i="31" a="1"/>
  <c r="U1066" i="31"/>
  <c r="W1066" i="31" a="1"/>
  <c r="W1066" i="31"/>
  <c r="V1066" i="31" a="1"/>
  <c r="V1066" i="31"/>
  <c r="U1065" i="31" a="1"/>
  <c r="U1065" i="31"/>
  <c r="W1065" i="31" a="1"/>
  <c r="W1065" i="31"/>
  <c r="V1065" i="31" a="1"/>
  <c r="V1065" i="31"/>
  <c r="U1064" i="31" a="1"/>
  <c r="U1064" i="31"/>
  <c r="W1064" i="31" a="1"/>
  <c r="W1064" i="31"/>
  <c r="V1064" i="31" a="1"/>
  <c r="V1064" i="31"/>
  <c r="U1063" i="31" a="1"/>
  <c r="U1063" i="31"/>
  <c r="W1063" i="31" a="1"/>
  <c r="W1063" i="31"/>
  <c r="V1063" i="31" a="1"/>
  <c r="V1063" i="31"/>
  <c r="U1062" i="31" a="1"/>
  <c r="U1062" i="31"/>
  <c r="W1062" i="31" a="1"/>
  <c r="W1062" i="31"/>
  <c r="V1062" i="31" a="1"/>
  <c r="V1062" i="31"/>
  <c r="U1061" i="31" a="1"/>
  <c r="U1061" i="31"/>
  <c r="W1061" i="31" a="1"/>
  <c r="W1061" i="31"/>
  <c r="V1061" i="31" a="1"/>
  <c r="V1061" i="31"/>
  <c r="U1060" i="31" a="1"/>
  <c r="U1060" i="31"/>
  <c r="W1060" i="31" a="1"/>
  <c r="W1060" i="31"/>
  <c r="V1060" i="31" a="1"/>
  <c r="V1060" i="31"/>
  <c r="U1059" i="31" a="1"/>
  <c r="U1059" i="31"/>
  <c r="W1059" i="31" a="1"/>
  <c r="W1059" i="31"/>
  <c r="V1059" i="31" a="1"/>
  <c r="V1059" i="31"/>
  <c r="U1058" i="31" a="1"/>
  <c r="U1058" i="31"/>
  <c r="W1058" i="31" a="1"/>
  <c r="W1058" i="31"/>
  <c r="V1058" i="31" a="1"/>
  <c r="V1058" i="31"/>
  <c r="U1057" i="31" a="1"/>
  <c r="U1057" i="31"/>
  <c r="W1057" i="31" a="1"/>
  <c r="W1057" i="31"/>
  <c r="V1057" i="31" a="1"/>
  <c r="V1057" i="31"/>
  <c r="U1056" i="31" a="1"/>
  <c r="U1056" i="31"/>
  <c r="W1056" i="31" a="1"/>
  <c r="W1056" i="31"/>
  <c r="V1056" i="31" a="1"/>
  <c r="V1056" i="31"/>
  <c r="U1055" i="31" a="1"/>
  <c r="U1055" i="31"/>
  <c r="W1055" i="31" a="1"/>
  <c r="W1055" i="31"/>
  <c r="V1055" i="31" a="1"/>
  <c r="V1055" i="31"/>
  <c r="U1054" i="31" a="1"/>
  <c r="U1054" i="31"/>
  <c r="W1054" i="31" a="1"/>
  <c r="W1054" i="31"/>
  <c r="V1054" i="31" a="1"/>
  <c r="V1054" i="31"/>
  <c r="U1053" i="31" a="1"/>
  <c r="U1053" i="31"/>
  <c r="W1053" i="31" a="1"/>
  <c r="W1053" i="31"/>
  <c r="V1053" i="31" a="1"/>
  <c r="V1053" i="31"/>
  <c r="U1052" i="31" a="1"/>
  <c r="U1052" i="31"/>
  <c r="W1052" i="31" a="1"/>
  <c r="W1052" i="31"/>
  <c r="V1052" i="31" a="1"/>
  <c r="V1052" i="31"/>
  <c r="U1051" i="31" a="1"/>
  <c r="U1051" i="31"/>
  <c r="W1051" i="31" a="1"/>
  <c r="W1051" i="31"/>
  <c r="V1051" i="31" a="1"/>
  <c r="V1051" i="31"/>
  <c r="U1050" i="31" a="1"/>
  <c r="U1050" i="31"/>
  <c r="W1050" i="31" a="1"/>
  <c r="W1050" i="31"/>
  <c r="V1050" i="31" a="1"/>
  <c r="V1050" i="31"/>
  <c r="U1049" i="31" a="1"/>
  <c r="U1049" i="31"/>
  <c r="W1049" i="31" a="1"/>
  <c r="W1049" i="31"/>
  <c r="V1049" i="31" a="1"/>
  <c r="V1049" i="31"/>
  <c r="U1048" i="31" a="1"/>
  <c r="U1048" i="31"/>
  <c r="W1048" i="31" a="1"/>
  <c r="W1048" i="31"/>
  <c r="V1048" i="31" a="1"/>
  <c r="V1048" i="31"/>
  <c r="U1047" i="31" a="1"/>
  <c r="U1047" i="31"/>
  <c r="W1047" i="31" a="1"/>
  <c r="W1047" i="31"/>
  <c r="V1047" i="31" a="1"/>
  <c r="V1047" i="31"/>
  <c r="U1046" i="31" a="1"/>
  <c r="U1046" i="31"/>
  <c r="W1046" i="31" a="1"/>
  <c r="W1046" i="31"/>
  <c r="V1046" i="31" a="1"/>
  <c r="V1046" i="31"/>
  <c r="U1045" i="31" a="1"/>
  <c r="U1045" i="31"/>
  <c r="W1045" i="31" a="1"/>
  <c r="W1045" i="31"/>
  <c r="V1045" i="31" a="1"/>
  <c r="V1045" i="31"/>
  <c r="U1044" i="31" a="1"/>
  <c r="U1044" i="31"/>
  <c r="W1044" i="31" a="1"/>
  <c r="W1044" i="31"/>
  <c r="V1044" i="31" a="1"/>
  <c r="V1044" i="31"/>
  <c r="U1043" i="31" a="1"/>
  <c r="U1043" i="31"/>
  <c r="W1043" i="31" a="1"/>
  <c r="W1043" i="31"/>
  <c r="V1043" i="31" a="1"/>
  <c r="V1043" i="31"/>
  <c r="U1042" i="31" a="1"/>
  <c r="U1042" i="31"/>
  <c r="W1042" i="31" a="1"/>
  <c r="W1042" i="31"/>
  <c r="V1042" i="31" a="1"/>
  <c r="V1042" i="31"/>
  <c r="U1041" i="31" a="1"/>
  <c r="U1041" i="31"/>
  <c r="W1041" i="31" a="1"/>
  <c r="W1041" i="31"/>
  <c r="V1041" i="31" a="1"/>
  <c r="V1041" i="31"/>
  <c r="U1040" i="31" a="1"/>
  <c r="U1040" i="31"/>
  <c r="W1040" i="31" a="1"/>
  <c r="W1040" i="31"/>
  <c r="V1040" i="31" a="1"/>
  <c r="V1040" i="31"/>
  <c r="U1039" i="31" a="1"/>
  <c r="U1039" i="31"/>
  <c r="W1039" i="31" a="1"/>
  <c r="W1039" i="31"/>
  <c r="V1039" i="31" a="1"/>
  <c r="V1039" i="31"/>
  <c r="U1038" i="31" a="1"/>
  <c r="U1038" i="31"/>
  <c r="W1038" i="31" a="1"/>
  <c r="W1038" i="31"/>
  <c r="V1038" i="31" a="1"/>
  <c r="V1038" i="31"/>
  <c r="U1037" i="31" a="1"/>
  <c r="U1037" i="31"/>
  <c r="W1037" i="31" a="1"/>
  <c r="W1037" i="31"/>
  <c r="V1037" i="31" a="1"/>
  <c r="V1037" i="31"/>
  <c r="U1036" i="31" a="1"/>
  <c r="U1036" i="31"/>
  <c r="W1036" i="31" a="1"/>
  <c r="W1036" i="31"/>
  <c r="V1036" i="31" a="1"/>
  <c r="V1036" i="31"/>
  <c r="U1035" i="31" a="1"/>
  <c r="U1035" i="31"/>
  <c r="W1035" i="31" a="1"/>
  <c r="W1035" i="31"/>
  <c r="V1035" i="31" a="1"/>
  <c r="V1035" i="31"/>
  <c r="U1034" i="31" a="1"/>
  <c r="U1034" i="31"/>
  <c r="W1034" i="31" a="1"/>
  <c r="W1034" i="31"/>
  <c r="V1034" i="31" a="1"/>
  <c r="V1034" i="31"/>
  <c r="U1033" i="31" a="1"/>
  <c r="U1033" i="31"/>
  <c r="W1033" i="31" a="1"/>
  <c r="W1033" i="31"/>
  <c r="V1033" i="31" a="1"/>
  <c r="V1033" i="31"/>
  <c r="U1032" i="31" a="1"/>
  <c r="U1032" i="31"/>
  <c r="W1032" i="31" a="1"/>
  <c r="W1032" i="31"/>
  <c r="V1032" i="31" a="1"/>
  <c r="V1032" i="31"/>
  <c r="U1031" i="31" a="1"/>
  <c r="U1031" i="31"/>
  <c r="W1031" i="31" a="1"/>
  <c r="W1031" i="31"/>
  <c r="V1031" i="31" a="1"/>
  <c r="V1031" i="31"/>
  <c r="U1030" i="31" a="1"/>
  <c r="U1030" i="31"/>
  <c r="W1030" i="31" a="1"/>
  <c r="W1030" i="31"/>
  <c r="V1030" i="31" a="1"/>
  <c r="V1030" i="31"/>
  <c r="U1029" i="31" a="1"/>
  <c r="U1029" i="31"/>
  <c r="W1029" i="31" a="1"/>
  <c r="W1029" i="31"/>
  <c r="V1029" i="31" a="1"/>
  <c r="V1029" i="31"/>
  <c r="U1028" i="31" a="1"/>
  <c r="U1028" i="31"/>
  <c r="W1028" i="31" a="1"/>
  <c r="W1028" i="31"/>
  <c r="V1028" i="31" a="1"/>
  <c r="V1028" i="31"/>
  <c r="U1027" i="31" a="1"/>
  <c r="U1027" i="31"/>
  <c r="W1027" i="31" a="1"/>
  <c r="W1027" i="31"/>
  <c r="V1027" i="31" a="1"/>
  <c r="V1027" i="31"/>
  <c r="U1026" i="31" a="1"/>
  <c r="U1026" i="31"/>
  <c r="W1026" i="31" a="1"/>
  <c r="W1026" i="31"/>
  <c r="V1026" i="31" a="1"/>
  <c r="V1026" i="31"/>
  <c r="U1025" i="31" a="1"/>
  <c r="U1025" i="31"/>
  <c r="W1025" i="31" a="1"/>
  <c r="W1025" i="31"/>
  <c r="V1025" i="31" a="1"/>
  <c r="V1025" i="31"/>
  <c r="U1024" i="31" a="1"/>
  <c r="U1024" i="31"/>
  <c r="W1024" i="31" a="1"/>
  <c r="W1024" i="31"/>
  <c r="V1024" i="31" a="1"/>
  <c r="V1024" i="31"/>
  <c r="U1023" i="31" a="1"/>
  <c r="U1023" i="31"/>
  <c r="W1023" i="31" a="1"/>
  <c r="W1023" i="31"/>
  <c r="V1023" i="31" a="1"/>
  <c r="V1023" i="31"/>
  <c r="U1022" i="31" a="1"/>
  <c r="U1022" i="31"/>
  <c r="W1022" i="31" a="1"/>
  <c r="W1022" i="31"/>
  <c r="V1022" i="31" a="1"/>
  <c r="V1022" i="31"/>
  <c r="U1021" i="31" a="1"/>
  <c r="U1021" i="31"/>
  <c r="W1021" i="31" a="1"/>
  <c r="W1021" i="31"/>
  <c r="V1021" i="31" a="1"/>
  <c r="V1021" i="31"/>
  <c r="U1020" i="31" a="1"/>
  <c r="U1020" i="31"/>
  <c r="W1020" i="31" a="1"/>
  <c r="W1020" i="31"/>
  <c r="V1020" i="31" a="1"/>
  <c r="V1020" i="31"/>
  <c r="U1019" i="31" a="1"/>
  <c r="U1019" i="31"/>
  <c r="W1019" i="31" a="1"/>
  <c r="W1019" i="31"/>
  <c r="V1019" i="31" a="1"/>
  <c r="V1019" i="31"/>
  <c r="U1018" i="31" a="1"/>
  <c r="U1018" i="31"/>
  <c r="W1018" i="31" a="1"/>
  <c r="W1018" i="31"/>
  <c r="V1018" i="31" a="1"/>
  <c r="V1018" i="31"/>
  <c r="U1017" i="31" a="1"/>
  <c r="U1017" i="31"/>
  <c r="W1017" i="31" a="1"/>
  <c r="W1017" i="31"/>
  <c r="V1017" i="31" a="1"/>
  <c r="V1017" i="31"/>
  <c r="U1016" i="31" a="1"/>
  <c r="U1016" i="31"/>
  <c r="W1016" i="31" a="1"/>
  <c r="W1016" i="31"/>
  <c r="V1016" i="31" a="1"/>
  <c r="V1016" i="31"/>
  <c r="U1015" i="31" a="1"/>
  <c r="U1015" i="31"/>
  <c r="W1015" i="31" a="1"/>
  <c r="W1015" i="31"/>
  <c r="V1015" i="31" a="1"/>
  <c r="V1015" i="31"/>
  <c r="U1014" i="31" a="1"/>
  <c r="U1014" i="31"/>
  <c r="W1014" i="31" a="1"/>
  <c r="W1014" i="31"/>
  <c r="V1014" i="31" a="1"/>
  <c r="V1014" i="31"/>
  <c r="U1013" i="31" a="1"/>
  <c r="U1013" i="31"/>
  <c r="W1013" i="31" a="1"/>
  <c r="W1013" i="31"/>
  <c r="V1013" i="31" a="1"/>
  <c r="V1013" i="31"/>
  <c r="U1012" i="31" a="1"/>
  <c r="U1012" i="31"/>
  <c r="W1012" i="31" a="1"/>
  <c r="W1012" i="31"/>
  <c r="V1012" i="31" a="1"/>
  <c r="V1012" i="31"/>
  <c r="U1011" i="31" a="1"/>
  <c r="U1011" i="31"/>
  <c r="W1011" i="31" a="1"/>
  <c r="W1011" i="31"/>
  <c r="V1011" i="31" a="1"/>
  <c r="V1011" i="31"/>
  <c r="U1010" i="31" a="1"/>
  <c r="U1010" i="31"/>
  <c r="W1010" i="31" a="1"/>
  <c r="W1010" i="31"/>
  <c r="V1010" i="31" a="1"/>
  <c r="V1010" i="31"/>
  <c r="U1009" i="31" a="1"/>
  <c r="U1009" i="31"/>
  <c r="W1009" i="31" a="1"/>
  <c r="W1009" i="31"/>
  <c r="V1009" i="31" a="1"/>
  <c r="V1009" i="31"/>
  <c r="U1008" i="31" a="1"/>
  <c r="U1008" i="31"/>
  <c r="W1008" i="31" a="1"/>
  <c r="W1008" i="31"/>
  <c r="V1008" i="31" a="1"/>
  <c r="V1008" i="31"/>
  <c r="U1007" i="31" a="1"/>
  <c r="U1007" i="31"/>
  <c r="W1007" i="31" a="1"/>
  <c r="W1007" i="31"/>
  <c r="V1007" i="31" a="1"/>
  <c r="V1007" i="31"/>
  <c r="U1006" i="31" a="1"/>
  <c r="U1006" i="31"/>
  <c r="W1006" i="31" a="1"/>
  <c r="W1006" i="31"/>
  <c r="V1006" i="31" a="1"/>
  <c r="V1006" i="31"/>
  <c r="U1005" i="31" a="1"/>
  <c r="U1005" i="31"/>
  <c r="W1005" i="31" a="1"/>
  <c r="W1005" i="31"/>
  <c r="V1005" i="31" a="1"/>
  <c r="V1005" i="31"/>
  <c r="U1004" i="31" a="1"/>
  <c r="U1004" i="31"/>
  <c r="W1004" i="31" a="1"/>
  <c r="W1004" i="31"/>
  <c r="V1004" i="31" a="1"/>
  <c r="V1004" i="31"/>
  <c r="U1003" i="31" a="1"/>
  <c r="U1003" i="31"/>
  <c r="W1003" i="31" a="1"/>
  <c r="W1003" i="31"/>
  <c r="V1003" i="31" a="1"/>
  <c r="V1003" i="31"/>
  <c r="U1002" i="31" a="1"/>
  <c r="U1002" i="31"/>
  <c r="W1002" i="31" a="1"/>
  <c r="W1002" i="31"/>
  <c r="V1002" i="31" a="1"/>
  <c r="V1002" i="31"/>
  <c r="U1001" i="31" a="1"/>
  <c r="U1001" i="31"/>
  <c r="W1001" i="31" a="1"/>
  <c r="W1001" i="31"/>
  <c r="V1001" i="31" a="1"/>
  <c r="V1001" i="31"/>
  <c r="U1000" i="31" a="1"/>
  <c r="U1000" i="31"/>
  <c r="W1000" i="31" a="1"/>
  <c r="W1000" i="31"/>
  <c r="V1000" i="31" a="1"/>
  <c r="V1000" i="31"/>
  <c r="U999" i="31" a="1"/>
  <c r="U999" i="31"/>
  <c r="W999" i="31" a="1"/>
  <c r="W999" i="31"/>
  <c r="V999" i="31" a="1"/>
  <c r="V999" i="31"/>
  <c r="U998" i="31" a="1"/>
  <c r="U998" i="31"/>
  <c r="W998" i="31" a="1"/>
  <c r="W998" i="31"/>
  <c r="V998" i="31" a="1"/>
  <c r="V998" i="31"/>
  <c r="U997" i="31" a="1"/>
  <c r="U997" i="31"/>
  <c r="W997" i="31" a="1"/>
  <c r="W997" i="31"/>
  <c r="V997" i="31" a="1"/>
  <c r="V997" i="31"/>
  <c r="U996" i="31" a="1"/>
  <c r="U996" i="31"/>
  <c r="W996" i="31" a="1"/>
  <c r="W996" i="31"/>
  <c r="V996" i="31" a="1"/>
  <c r="V996" i="31"/>
  <c r="U995" i="31" a="1"/>
  <c r="U995" i="31"/>
  <c r="W995" i="31" a="1"/>
  <c r="W995" i="31"/>
  <c r="V995" i="31" a="1"/>
  <c r="V995" i="31"/>
  <c r="U994" i="31" a="1"/>
  <c r="U994" i="31"/>
  <c r="W994" i="31" a="1"/>
  <c r="W994" i="31"/>
  <c r="V994" i="31" a="1"/>
  <c r="V994" i="31"/>
  <c r="U993" i="31" a="1"/>
  <c r="U993" i="31"/>
  <c r="W993" i="31" a="1"/>
  <c r="W993" i="31"/>
  <c r="V993" i="31" a="1"/>
  <c r="V993" i="31"/>
  <c r="U992" i="31" a="1"/>
  <c r="U992" i="31"/>
  <c r="W992" i="31" a="1"/>
  <c r="W992" i="31"/>
  <c r="V992" i="31" a="1"/>
  <c r="V992" i="31"/>
  <c r="U991" i="31" a="1"/>
  <c r="U991" i="31"/>
  <c r="W991" i="31" a="1"/>
  <c r="W991" i="31"/>
  <c r="V991" i="31" a="1"/>
  <c r="V991" i="31"/>
  <c r="U990" i="31" a="1"/>
  <c r="U990" i="31"/>
  <c r="W990" i="31" a="1"/>
  <c r="W990" i="31"/>
  <c r="V990" i="31" a="1"/>
  <c r="V990" i="31"/>
  <c r="U989" i="31" a="1"/>
  <c r="U989" i="31"/>
  <c r="W989" i="31" a="1"/>
  <c r="W989" i="31"/>
  <c r="V989" i="31" a="1"/>
  <c r="V989" i="31"/>
  <c r="U988" i="31" a="1"/>
  <c r="U988" i="31"/>
  <c r="W988" i="31" a="1"/>
  <c r="W988" i="31"/>
  <c r="V988" i="31" a="1"/>
  <c r="V988" i="31"/>
  <c r="U987" i="31" a="1"/>
  <c r="U987" i="31"/>
  <c r="W987" i="31" a="1"/>
  <c r="W987" i="31"/>
  <c r="V987" i="31" a="1"/>
  <c r="V987" i="31"/>
  <c r="U986" i="31" a="1"/>
  <c r="U986" i="31"/>
  <c r="W986" i="31" a="1"/>
  <c r="W986" i="31"/>
  <c r="V986" i="31" a="1"/>
  <c r="V986" i="31"/>
  <c r="U985" i="31" a="1"/>
  <c r="U985" i="31"/>
  <c r="W985" i="31" a="1"/>
  <c r="W985" i="31"/>
  <c r="V985" i="31" a="1"/>
  <c r="V985" i="31"/>
  <c r="U984" i="31" a="1"/>
  <c r="U984" i="31"/>
  <c r="W984" i="31" a="1"/>
  <c r="W984" i="31"/>
  <c r="V984" i="31" a="1"/>
  <c r="V984" i="31"/>
  <c r="U983" i="31" a="1"/>
  <c r="U983" i="31"/>
  <c r="W983" i="31" a="1"/>
  <c r="W983" i="31"/>
  <c r="V983" i="31" a="1"/>
  <c r="V983" i="31"/>
  <c r="U982" i="31" a="1"/>
  <c r="U982" i="31"/>
  <c r="W982" i="31" a="1"/>
  <c r="W982" i="31"/>
  <c r="V982" i="31" a="1"/>
  <c r="V982" i="31"/>
  <c r="U981" i="31" a="1"/>
  <c r="U981" i="31"/>
  <c r="W981" i="31" a="1"/>
  <c r="W981" i="31"/>
  <c r="V981" i="31" a="1"/>
  <c r="V981" i="31"/>
  <c r="U980" i="31" a="1"/>
  <c r="U980" i="31"/>
  <c r="W980" i="31" a="1"/>
  <c r="W980" i="31"/>
  <c r="V980" i="31" a="1"/>
  <c r="V980" i="31"/>
  <c r="U979" i="31" a="1"/>
  <c r="U979" i="31"/>
  <c r="W979" i="31" a="1"/>
  <c r="W979" i="31"/>
  <c r="V979" i="31" a="1"/>
  <c r="V979" i="31"/>
  <c r="U978" i="31" a="1"/>
  <c r="U978" i="31"/>
  <c r="W978" i="31" a="1"/>
  <c r="W978" i="31"/>
  <c r="V978" i="31" a="1"/>
  <c r="V978" i="31"/>
  <c r="U977" i="31" a="1"/>
  <c r="U977" i="31"/>
  <c r="W977" i="31" a="1"/>
  <c r="W977" i="31"/>
  <c r="V977" i="31" a="1"/>
  <c r="V977" i="31"/>
  <c r="U976" i="31" a="1"/>
  <c r="U976" i="31"/>
  <c r="W976" i="31" a="1"/>
  <c r="W976" i="31"/>
  <c r="V976" i="31" a="1"/>
  <c r="V976" i="31"/>
  <c r="U975" i="31" a="1"/>
  <c r="U975" i="31"/>
  <c r="W975" i="31" a="1"/>
  <c r="W975" i="31"/>
  <c r="V975" i="31" a="1"/>
  <c r="V975" i="31"/>
  <c r="U974" i="31" a="1"/>
  <c r="U974" i="31"/>
  <c r="W974" i="31" a="1"/>
  <c r="W974" i="31"/>
  <c r="V974" i="31" a="1"/>
  <c r="V974" i="31"/>
  <c r="U973" i="31" a="1"/>
  <c r="U973" i="31"/>
  <c r="W973" i="31" a="1"/>
  <c r="W973" i="31"/>
  <c r="V973" i="31" a="1"/>
  <c r="V973" i="31"/>
  <c r="U972" i="31" a="1"/>
  <c r="U972" i="31"/>
  <c r="W972" i="31" a="1"/>
  <c r="W972" i="31"/>
  <c r="V972" i="31" a="1"/>
  <c r="V972" i="31"/>
  <c r="U971" i="31" a="1"/>
  <c r="U971" i="31"/>
  <c r="W971" i="31" a="1"/>
  <c r="W971" i="31"/>
  <c r="V971" i="31" a="1"/>
  <c r="V971" i="31"/>
  <c r="U970" i="31" a="1"/>
  <c r="U970" i="31"/>
  <c r="W970" i="31" a="1"/>
  <c r="W970" i="31"/>
  <c r="V970" i="31" a="1"/>
  <c r="V970" i="31"/>
  <c r="U969" i="31" a="1"/>
  <c r="U969" i="31"/>
  <c r="W969" i="31" a="1"/>
  <c r="W969" i="31"/>
  <c r="V969" i="31" a="1"/>
  <c r="V969" i="31"/>
  <c r="U968" i="31" a="1"/>
  <c r="U968" i="31"/>
  <c r="W968" i="31" a="1"/>
  <c r="W968" i="31"/>
  <c r="V968" i="31" a="1"/>
  <c r="V968" i="31"/>
  <c r="U967" i="31" a="1"/>
  <c r="U967" i="31"/>
  <c r="W967" i="31" a="1"/>
  <c r="W967" i="31"/>
  <c r="V967" i="31" a="1"/>
  <c r="V967" i="31"/>
  <c r="U966" i="31" a="1"/>
  <c r="U966" i="31"/>
  <c r="W966" i="31" a="1"/>
  <c r="W966" i="31"/>
  <c r="V966" i="31" a="1"/>
  <c r="V966" i="31"/>
  <c r="U965" i="31" a="1"/>
  <c r="U965" i="31"/>
  <c r="W965" i="31" a="1"/>
  <c r="W965" i="31"/>
  <c r="V965" i="31" a="1"/>
  <c r="V965" i="31"/>
  <c r="U964" i="31" a="1"/>
  <c r="U964" i="31"/>
  <c r="W964" i="31" a="1"/>
  <c r="W964" i="31"/>
  <c r="V964" i="31" a="1"/>
  <c r="V964" i="31"/>
  <c r="U963" i="31" a="1"/>
  <c r="U963" i="31"/>
  <c r="W963" i="31" a="1"/>
  <c r="W963" i="31"/>
  <c r="V963" i="31" a="1"/>
  <c r="V963" i="31"/>
  <c r="U962" i="31" a="1"/>
  <c r="U962" i="31"/>
  <c r="W962" i="31" a="1"/>
  <c r="W962" i="31"/>
  <c r="V962" i="31" a="1"/>
  <c r="V962" i="31"/>
  <c r="U961" i="31" a="1"/>
  <c r="U961" i="31"/>
  <c r="W961" i="31" a="1"/>
  <c r="W961" i="31"/>
  <c r="V961" i="31" a="1"/>
  <c r="V961" i="31"/>
  <c r="U960" i="31" a="1"/>
  <c r="U960" i="31"/>
  <c r="W960" i="31" a="1"/>
  <c r="W960" i="31"/>
  <c r="V960" i="31" a="1"/>
  <c r="V960" i="31"/>
  <c r="U959" i="31" a="1"/>
  <c r="U959" i="31"/>
  <c r="W959" i="31" a="1"/>
  <c r="W959" i="31"/>
  <c r="V959" i="31" a="1"/>
  <c r="V959" i="31"/>
  <c r="U958" i="31" a="1"/>
  <c r="U958" i="31"/>
  <c r="W958" i="31" a="1"/>
  <c r="W958" i="31"/>
  <c r="V958" i="31" a="1"/>
  <c r="V958" i="31"/>
  <c r="U957" i="31" a="1"/>
  <c r="U957" i="31"/>
  <c r="W957" i="31" a="1"/>
  <c r="W957" i="31"/>
  <c r="V957" i="31" a="1"/>
  <c r="V957" i="31"/>
  <c r="U956" i="31" a="1"/>
  <c r="U956" i="31"/>
  <c r="W956" i="31" a="1"/>
  <c r="W956" i="31"/>
  <c r="V956" i="31" a="1"/>
  <c r="V956" i="31"/>
  <c r="U955" i="31" a="1"/>
  <c r="U955" i="31"/>
  <c r="W955" i="31" a="1"/>
  <c r="W955" i="31"/>
  <c r="V955" i="31" a="1"/>
  <c r="V955" i="31"/>
  <c r="U954" i="31" a="1"/>
  <c r="U954" i="31"/>
  <c r="W954" i="31" a="1"/>
  <c r="W954" i="31"/>
  <c r="V954" i="31" a="1"/>
  <c r="V954" i="31"/>
  <c r="U953" i="31" a="1"/>
  <c r="U953" i="31"/>
  <c r="W953" i="31" a="1"/>
  <c r="W953" i="31"/>
  <c r="V953" i="31" a="1"/>
  <c r="V953" i="31"/>
  <c r="U952" i="31" a="1"/>
  <c r="U952" i="31"/>
  <c r="W952" i="31" a="1"/>
  <c r="W952" i="31"/>
  <c r="V952" i="31" a="1"/>
  <c r="V952" i="31"/>
  <c r="U951" i="31" a="1"/>
  <c r="U951" i="31"/>
  <c r="W951" i="31" a="1"/>
  <c r="W951" i="31"/>
  <c r="V951" i="31" a="1"/>
  <c r="V951" i="31"/>
  <c r="U950" i="31" a="1"/>
  <c r="U950" i="31"/>
  <c r="W950" i="31" a="1"/>
  <c r="W950" i="31"/>
  <c r="V950" i="31" a="1"/>
  <c r="V950" i="31"/>
  <c r="U949" i="31" a="1"/>
  <c r="U949" i="31"/>
  <c r="W949" i="31" a="1"/>
  <c r="W949" i="31"/>
  <c r="V949" i="31" a="1"/>
  <c r="V949" i="31"/>
  <c r="U948" i="31" a="1"/>
  <c r="U948" i="31"/>
  <c r="W948" i="31" a="1"/>
  <c r="W948" i="31"/>
  <c r="V948" i="31" a="1"/>
  <c r="V948" i="31"/>
  <c r="U947" i="31" a="1"/>
  <c r="U947" i="31"/>
  <c r="W947" i="31" a="1"/>
  <c r="W947" i="31"/>
  <c r="V947" i="31" a="1"/>
  <c r="V947" i="31"/>
  <c r="U946" i="31" a="1"/>
  <c r="U946" i="31"/>
  <c r="W946" i="31" a="1"/>
  <c r="W946" i="31"/>
  <c r="V946" i="31" a="1"/>
  <c r="V946" i="31"/>
  <c r="U945" i="31" a="1"/>
  <c r="U945" i="31"/>
  <c r="W945" i="31" a="1"/>
  <c r="W945" i="31"/>
  <c r="V945" i="31" a="1"/>
  <c r="V945" i="31"/>
  <c r="U944" i="31" a="1"/>
  <c r="U944" i="31"/>
  <c r="W944" i="31" a="1"/>
  <c r="W944" i="31"/>
  <c r="V944" i="31" a="1"/>
  <c r="V944" i="31"/>
  <c r="U943" i="31" a="1"/>
  <c r="U943" i="31"/>
  <c r="W943" i="31" a="1"/>
  <c r="W943" i="31"/>
  <c r="V943" i="31" a="1"/>
  <c r="V943" i="31"/>
  <c r="U942" i="31" a="1"/>
  <c r="U942" i="31"/>
  <c r="W942" i="31" a="1"/>
  <c r="W942" i="31"/>
  <c r="V942" i="31" a="1"/>
  <c r="V942" i="31"/>
  <c r="U941" i="31" a="1"/>
  <c r="U941" i="31"/>
  <c r="W941" i="31" a="1"/>
  <c r="W941" i="31"/>
  <c r="V941" i="31" a="1"/>
  <c r="V941" i="31"/>
  <c r="U940" i="31" a="1"/>
  <c r="U940" i="31"/>
  <c r="W940" i="31" a="1"/>
  <c r="W940" i="31"/>
  <c r="V940" i="31" a="1"/>
  <c r="V940" i="31"/>
  <c r="U939" i="31" a="1"/>
  <c r="U939" i="31"/>
  <c r="W939" i="31" a="1"/>
  <c r="W939" i="31"/>
  <c r="V939" i="31" a="1"/>
  <c r="V939" i="31"/>
  <c r="U938" i="31" a="1"/>
  <c r="U938" i="31"/>
  <c r="W938" i="31" a="1"/>
  <c r="W938" i="31"/>
  <c r="V938" i="31" a="1"/>
  <c r="V938" i="31"/>
  <c r="U937" i="31" a="1"/>
  <c r="U937" i="31"/>
  <c r="W937" i="31" a="1"/>
  <c r="W937" i="31"/>
  <c r="V937" i="31" a="1"/>
  <c r="V937" i="31"/>
  <c r="U936" i="31" a="1"/>
  <c r="U936" i="31"/>
  <c r="W936" i="31" a="1"/>
  <c r="W936" i="31"/>
  <c r="V936" i="31" a="1"/>
  <c r="V936" i="31"/>
  <c r="U935" i="31" a="1"/>
  <c r="U935" i="31"/>
  <c r="W935" i="31" a="1"/>
  <c r="W935" i="31"/>
  <c r="V935" i="31" a="1"/>
  <c r="V935" i="31"/>
  <c r="U934" i="31" a="1"/>
  <c r="U934" i="31"/>
  <c r="W934" i="31" a="1"/>
  <c r="W934" i="31"/>
  <c r="V934" i="31" a="1"/>
  <c r="V934" i="31"/>
  <c r="U933" i="31" a="1"/>
  <c r="U933" i="31"/>
  <c r="W933" i="31" a="1"/>
  <c r="W933" i="31"/>
  <c r="V933" i="31" a="1"/>
  <c r="V933" i="31"/>
  <c r="U932" i="31" a="1"/>
  <c r="U932" i="31"/>
  <c r="W932" i="31" a="1"/>
  <c r="W932" i="31"/>
  <c r="V932" i="31" a="1"/>
  <c r="V932" i="31"/>
  <c r="U931" i="31" a="1"/>
  <c r="U931" i="31"/>
  <c r="W931" i="31" a="1"/>
  <c r="W931" i="31"/>
  <c r="V931" i="31" a="1"/>
  <c r="V931" i="31"/>
  <c r="U930" i="31" a="1"/>
  <c r="U930" i="31"/>
  <c r="W930" i="31" a="1"/>
  <c r="W930" i="31"/>
  <c r="V930" i="31" a="1"/>
  <c r="V930" i="31"/>
  <c r="U929" i="31" a="1"/>
  <c r="U929" i="31"/>
  <c r="W929" i="31" a="1"/>
  <c r="W929" i="31"/>
  <c r="V929" i="31" a="1"/>
  <c r="V929" i="31"/>
  <c r="U928" i="31" a="1"/>
  <c r="U928" i="31"/>
  <c r="W928" i="31" a="1"/>
  <c r="W928" i="31"/>
  <c r="V928" i="31" a="1"/>
  <c r="V928" i="31"/>
  <c r="U927" i="31" a="1"/>
  <c r="U927" i="31"/>
  <c r="W927" i="31" a="1"/>
  <c r="W927" i="31"/>
  <c r="V927" i="31" a="1"/>
  <c r="V927" i="31"/>
  <c r="U926" i="31" a="1"/>
  <c r="U926" i="31"/>
  <c r="W926" i="31" a="1"/>
  <c r="W926" i="31"/>
  <c r="V926" i="31" a="1"/>
  <c r="V926" i="31"/>
  <c r="U925" i="31" a="1"/>
  <c r="U925" i="31"/>
  <c r="W925" i="31" a="1"/>
  <c r="W925" i="31"/>
  <c r="V925" i="31" a="1"/>
  <c r="V925" i="31"/>
  <c r="U924" i="31" a="1"/>
  <c r="U924" i="31"/>
  <c r="W924" i="31" a="1"/>
  <c r="W924" i="31"/>
  <c r="V924" i="31" a="1"/>
  <c r="V924" i="31"/>
  <c r="U923" i="31" a="1"/>
  <c r="U923" i="31"/>
  <c r="W923" i="31" a="1"/>
  <c r="W923" i="31"/>
  <c r="V923" i="31" a="1"/>
  <c r="V923" i="31"/>
  <c r="U922" i="31" a="1"/>
  <c r="U922" i="31"/>
  <c r="W922" i="31" a="1"/>
  <c r="W922" i="31"/>
  <c r="V922" i="31" a="1"/>
  <c r="V922" i="31"/>
  <c r="U921" i="31" a="1"/>
  <c r="U921" i="31"/>
  <c r="W921" i="31" a="1"/>
  <c r="W921" i="31"/>
  <c r="V921" i="31" a="1"/>
  <c r="V921" i="31"/>
  <c r="U920" i="31" a="1"/>
  <c r="U920" i="31"/>
  <c r="W920" i="31" a="1"/>
  <c r="W920" i="31"/>
  <c r="V920" i="31" a="1"/>
  <c r="V920" i="31"/>
  <c r="U919" i="31" a="1"/>
  <c r="U919" i="31"/>
  <c r="W919" i="31" a="1"/>
  <c r="W919" i="31"/>
  <c r="V919" i="31" a="1"/>
  <c r="V919" i="31"/>
  <c r="U918" i="31" a="1"/>
  <c r="U918" i="31"/>
  <c r="W918" i="31" a="1"/>
  <c r="W918" i="31"/>
  <c r="V918" i="31" a="1"/>
  <c r="V918" i="31"/>
  <c r="U917" i="31" a="1"/>
  <c r="U917" i="31"/>
  <c r="W917" i="31" a="1"/>
  <c r="W917" i="31"/>
  <c r="V917" i="31" a="1"/>
  <c r="V917" i="31"/>
  <c r="U916" i="31" a="1"/>
  <c r="U916" i="31"/>
  <c r="W916" i="31" a="1"/>
  <c r="W916" i="31"/>
  <c r="V916" i="31" a="1"/>
  <c r="V916" i="31"/>
  <c r="U915" i="31" a="1"/>
  <c r="U915" i="31"/>
  <c r="W915" i="31" a="1"/>
  <c r="W915" i="31"/>
  <c r="V915" i="31" a="1"/>
  <c r="V915" i="31"/>
  <c r="U914" i="31" a="1"/>
  <c r="U914" i="31"/>
  <c r="W914" i="31" a="1"/>
  <c r="W914" i="31"/>
  <c r="V914" i="31" a="1"/>
  <c r="V914" i="31"/>
  <c r="U913" i="31" a="1"/>
  <c r="U913" i="31"/>
  <c r="W913" i="31" a="1"/>
  <c r="W913" i="31"/>
  <c r="V913" i="31" a="1"/>
  <c r="V913" i="31"/>
  <c r="U912" i="31" a="1"/>
  <c r="U912" i="31"/>
  <c r="W912" i="31" a="1"/>
  <c r="W912" i="31"/>
  <c r="V912" i="31" a="1"/>
  <c r="V912" i="31"/>
  <c r="U911" i="31" a="1"/>
  <c r="U911" i="31"/>
  <c r="W911" i="31" a="1"/>
  <c r="W911" i="31"/>
  <c r="V911" i="31" a="1"/>
  <c r="V911" i="31"/>
  <c r="U910" i="31" a="1"/>
  <c r="U910" i="31"/>
  <c r="W910" i="31" a="1"/>
  <c r="W910" i="31"/>
  <c r="V910" i="31" a="1"/>
  <c r="V910" i="31"/>
  <c r="U909" i="31" a="1"/>
  <c r="U909" i="31"/>
  <c r="W909" i="31" a="1"/>
  <c r="W909" i="31"/>
  <c r="V909" i="31" a="1"/>
  <c r="V909" i="31"/>
  <c r="U908" i="31" a="1"/>
  <c r="U908" i="31"/>
  <c r="W908" i="31" a="1"/>
  <c r="W908" i="31"/>
  <c r="V908" i="31" a="1"/>
  <c r="V908" i="31"/>
  <c r="U907" i="31" a="1"/>
  <c r="U907" i="31"/>
  <c r="W907" i="31" a="1"/>
  <c r="W907" i="31"/>
  <c r="V907" i="31" a="1"/>
  <c r="V907" i="31"/>
  <c r="U906" i="31" a="1"/>
  <c r="U906" i="31"/>
  <c r="W906" i="31" a="1"/>
  <c r="W906" i="31"/>
  <c r="V906" i="31" a="1"/>
  <c r="V906" i="31"/>
  <c r="U905" i="31" a="1"/>
  <c r="U905" i="31"/>
  <c r="W905" i="31" a="1"/>
  <c r="W905" i="31"/>
  <c r="V905" i="31" a="1"/>
  <c r="V905" i="31"/>
  <c r="U904" i="31" a="1"/>
  <c r="U904" i="31"/>
  <c r="W904" i="31" a="1"/>
  <c r="W904" i="31"/>
  <c r="V904" i="31" a="1"/>
  <c r="V904" i="31"/>
  <c r="U903" i="31" a="1"/>
  <c r="U903" i="31"/>
  <c r="W903" i="31" a="1"/>
  <c r="W903" i="31"/>
  <c r="V903" i="31" a="1"/>
  <c r="V903" i="31"/>
  <c r="U902" i="31" a="1"/>
  <c r="U902" i="31"/>
  <c r="W902" i="31" a="1"/>
  <c r="W902" i="31"/>
  <c r="V902" i="31" a="1"/>
  <c r="V902" i="31"/>
  <c r="U901" i="31" a="1"/>
  <c r="U901" i="31"/>
  <c r="W901" i="31" a="1"/>
  <c r="W901" i="31"/>
  <c r="V901" i="31" a="1"/>
  <c r="V901" i="31"/>
  <c r="U900" i="31" a="1"/>
  <c r="U900" i="31"/>
  <c r="W900" i="31" a="1"/>
  <c r="W900" i="31"/>
  <c r="V900" i="31" a="1"/>
  <c r="V900" i="31"/>
  <c r="U899" i="31" a="1"/>
  <c r="U899" i="31"/>
  <c r="W899" i="31" a="1"/>
  <c r="W899" i="31"/>
  <c r="V899" i="31" a="1"/>
  <c r="V899" i="31"/>
  <c r="U898" i="31" a="1"/>
  <c r="U898" i="31"/>
  <c r="W898" i="31" a="1"/>
  <c r="W898" i="31"/>
  <c r="V898" i="31" a="1"/>
  <c r="V898" i="31"/>
  <c r="U897" i="31" a="1"/>
  <c r="U897" i="31"/>
  <c r="W897" i="31" a="1"/>
  <c r="W897" i="31"/>
  <c r="V897" i="31" a="1"/>
  <c r="V897" i="31"/>
  <c r="U896" i="31" a="1"/>
  <c r="U896" i="31"/>
  <c r="W896" i="31" a="1"/>
  <c r="W896" i="31"/>
  <c r="V896" i="31" a="1"/>
  <c r="V896" i="31"/>
  <c r="U895" i="31" a="1"/>
  <c r="U895" i="31"/>
  <c r="W895" i="31" a="1"/>
  <c r="W895" i="31"/>
  <c r="V895" i="31" a="1"/>
  <c r="V895" i="31"/>
  <c r="U894" i="31" a="1"/>
  <c r="U894" i="31"/>
  <c r="W894" i="31" a="1"/>
  <c r="W894" i="31"/>
  <c r="V894" i="31" a="1"/>
  <c r="V894" i="31"/>
  <c r="U893" i="31" a="1"/>
  <c r="U893" i="31"/>
  <c r="W893" i="31" a="1"/>
  <c r="W893" i="31"/>
  <c r="V893" i="31" a="1"/>
  <c r="V893" i="31"/>
  <c r="U892" i="31" a="1"/>
  <c r="U892" i="31"/>
  <c r="W892" i="31" a="1"/>
  <c r="W892" i="31"/>
  <c r="V892" i="31" a="1"/>
  <c r="V892" i="31"/>
  <c r="U891" i="31" a="1"/>
  <c r="U891" i="31"/>
  <c r="W891" i="31" a="1"/>
  <c r="W891" i="31"/>
  <c r="V891" i="31" a="1"/>
  <c r="V891" i="31"/>
  <c r="U890" i="31" a="1"/>
  <c r="U890" i="31"/>
  <c r="W890" i="31" a="1"/>
  <c r="W890" i="31"/>
  <c r="V890" i="31" a="1"/>
  <c r="V890" i="31"/>
  <c r="U889" i="31" a="1"/>
  <c r="U889" i="31"/>
  <c r="W889" i="31" a="1"/>
  <c r="W889" i="31"/>
  <c r="V889" i="31" a="1"/>
  <c r="V889" i="31"/>
  <c r="U888" i="31" a="1"/>
  <c r="U888" i="31"/>
  <c r="W888" i="31" a="1"/>
  <c r="W888" i="31"/>
  <c r="V888" i="31" a="1"/>
  <c r="V888" i="31"/>
  <c r="U887" i="31" a="1"/>
  <c r="U887" i="31"/>
  <c r="W887" i="31" a="1"/>
  <c r="W887" i="31"/>
  <c r="V887" i="31" a="1"/>
  <c r="V887" i="31"/>
  <c r="U886" i="31" a="1"/>
  <c r="U886" i="31"/>
  <c r="W886" i="31" a="1"/>
  <c r="W886" i="31"/>
  <c r="V886" i="31" a="1"/>
  <c r="V886" i="31"/>
  <c r="U885" i="31" a="1"/>
  <c r="U885" i="31"/>
  <c r="W885" i="31" a="1"/>
  <c r="W885" i="31"/>
  <c r="V885" i="31" a="1"/>
  <c r="V885" i="31"/>
  <c r="U884" i="31" a="1"/>
  <c r="U884" i="31"/>
  <c r="W884" i="31" a="1"/>
  <c r="W884" i="31"/>
  <c r="V884" i="31" a="1"/>
  <c r="V884" i="31"/>
  <c r="U883" i="31" a="1"/>
  <c r="U883" i="31"/>
  <c r="W883" i="31" a="1"/>
  <c r="W883" i="31"/>
  <c r="V883" i="31" a="1"/>
  <c r="V883" i="31"/>
  <c r="U882" i="31" a="1"/>
  <c r="U882" i="31"/>
  <c r="W882" i="31" a="1"/>
  <c r="W882" i="31"/>
  <c r="V882" i="31" a="1"/>
  <c r="V882" i="31"/>
  <c r="U881" i="31" a="1"/>
  <c r="U881" i="31"/>
  <c r="W881" i="31" a="1"/>
  <c r="W881" i="31"/>
  <c r="V881" i="31" a="1"/>
  <c r="V881" i="31"/>
  <c r="U880" i="31" a="1"/>
  <c r="U880" i="31"/>
  <c r="W880" i="31" a="1"/>
  <c r="W880" i="31"/>
  <c r="V880" i="31" a="1"/>
  <c r="V880" i="31"/>
  <c r="U879" i="31" a="1"/>
  <c r="U879" i="31"/>
  <c r="W879" i="31" a="1"/>
  <c r="W879" i="31"/>
  <c r="V879" i="31" a="1"/>
  <c r="V879" i="31"/>
  <c r="U878" i="31" a="1"/>
  <c r="U878" i="31"/>
  <c r="W878" i="31" a="1"/>
  <c r="W878" i="31"/>
  <c r="V878" i="31" a="1"/>
  <c r="V878" i="31"/>
  <c r="U877" i="31" a="1"/>
  <c r="U877" i="31"/>
  <c r="W877" i="31" a="1"/>
  <c r="W877" i="31"/>
  <c r="V877" i="31" a="1"/>
  <c r="V877" i="31"/>
  <c r="U876" i="31" a="1"/>
  <c r="U876" i="31"/>
  <c r="W876" i="31" a="1"/>
  <c r="W876" i="31"/>
  <c r="V876" i="31" a="1"/>
  <c r="V876" i="31"/>
  <c r="U875" i="31" a="1"/>
  <c r="U875" i="31"/>
  <c r="W875" i="31" a="1"/>
  <c r="W875" i="31"/>
  <c r="V875" i="31" a="1"/>
  <c r="V875" i="31"/>
  <c r="U874" i="31" a="1"/>
  <c r="U874" i="31"/>
  <c r="W874" i="31" a="1"/>
  <c r="W874" i="31"/>
  <c r="V874" i="31" a="1"/>
  <c r="V874" i="31"/>
  <c r="U873" i="31" a="1"/>
  <c r="U873" i="31"/>
  <c r="W873" i="31" a="1"/>
  <c r="W873" i="31"/>
  <c r="V873" i="31" a="1"/>
  <c r="V873" i="31"/>
  <c r="U872" i="31" a="1"/>
  <c r="U872" i="31"/>
  <c r="W872" i="31" a="1"/>
  <c r="W872" i="31"/>
  <c r="V872" i="31" a="1"/>
  <c r="V872" i="31"/>
  <c r="U871" i="31" a="1"/>
  <c r="U871" i="31"/>
  <c r="W871" i="31" a="1"/>
  <c r="W871" i="31"/>
  <c r="V871" i="31" a="1"/>
  <c r="V871" i="31"/>
  <c r="U870" i="31" a="1"/>
  <c r="U870" i="31"/>
  <c r="W870" i="31" a="1"/>
  <c r="W870" i="31"/>
  <c r="V870" i="31" a="1"/>
  <c r="V870" i="31"/>
  <c r="U869" i="31" a="1"/>
  <c r="U869" i="31"/>
  <c r="W869" i="31" a="1"/>
  <c r="W869" i="31"/>
  <c r="V869" i="31" a="1"/>
  <c r="V869" i="31"/>
  <c r="U868" i="31" a="1"/>
  <c r="U868" i="31"/>
  <c r="W868" i="31" a="1"/>
  <c r="W868" i="31"/>
  <c r="V868" i="31" a="1"/>
  <c r="V868" i="31"/>
  <c r="U867" i="31" a="1"/>
  <c r="U867" i="31"/>
  <c r="W867" i="31" a="1"/>
  <c r="W867" i="31"/>
  <c r="V867" i="31" a="1"/>
  <c r="V867" i="31"/>
  <c r="U866" i="31" a="1"/>
  <c r="U866" i="31"/>
  <c r="W866" i="31" a="1"/>
  <c r="W866" i="31"/>
  <c r="V866" i="31" a="1"/>
  <c r="V866" i="31"/>
  <c r="U865" i="31" a="1"/>
  <c r="U865" i="31"/>
  <c r="W865" i="31" a="1"/>
  <c r="W865" i="31"/>
  <c r="V865" i="31" a="1"/>
  <c r="V865" i="31"/>
  <c r="U864" i="31" a="1"/>
  <c r="U864" i="31"/>
  <c r="W864" i="31" a="1"/>
  <c r="W864" i="31"/>
  <c r="V864" i="31" a="1"/>
  <c r="V864" i="31"/>
  <c r="U863" i="31" a="1"/>
  <c r="U863" i="31"/>
  <c r="W863" i="31" a="1"/>
  <c r="W863" i="31"/>
  <c r="V863" i="31" a="1"/>
  <c r="V863" i="31"/>
  <c r="U862" i="31" a="1"/>
  <c r="U862" i="31"/>
  <c r="W862" i="31" a="1"/>
  <c r="W862" i="31"/>
  <c r="V862" i="31" a="1"/>
  <c r="V862" i="31"/>
  <c r="U861" i="31" a="1"/>
  <c r="U861" i="31"/>
  <c r="W861" i="31" a="1"/>
  <c r="W861" i="31"/>
  <c r="V861" i="31" a="1"/>
  <c r="V861" i="31"/>
  <c r="U860" i="31" a="1"/>
  <c r="U860" i="31"/>
  <c r="W860" i="31" a="1"/>
  <c r="W860" i="31"/>
  <c r="V860" i="31" a="1"/>
  <c r="V860" i="31"/>
  <c r="U859" i="31" a="1"/>
  <c r="U859" i="31"/>
  <c r="W859" i="31" a="1"/>
  <c r="W859" i="31"/>
  <c r="V859" i="31" a="1"/>
  <c r="V859" i="31"/>
  <c r="U858" i="31" a="1"/>
  <c r="U858" i="31"/>
  <c r="W858" i="31" a="1"/>
  <c r="W858" i="31"/>
  <c r="V858" i="31" a="1"/>
  <c r="V858" i="31"/>
  <c r="U857" i="31" a="1"/>
  <c r="U857" i="31"/>
  <c r="W857" i="31" a="1"/>
  <c r="W857" i="31"/>
  <c r="V857" i="31" a="1"/>
  <c r="V857" i="31"/>
  <c r="U856" i="31" a="1"/>
  <c r="U856" i="31"/>
  <c r="W856" i="31" a="1"/>
  <c r="W856" i="31"/>
  <c r="V856" i="31" a="1"/>
  <c r="V856" i="31"/>
  <c r="U855" i="31" a="1"/>
  <c r="U855" i="31"/>
  <c r="W855" i="31" a="1"/>
  <c r="W855" i="31"/>
  <c r="V855" i="31" a="1"/>
  <c r="V855" i="31"/>
  <c r="U854" i="31" a="1"/>
  <c r="U854" i="31"/>
  <c r="W854" i="31" a="1"/>
  <c r="W854" i="31"/>
  <c r="V854" i="31" a="1"/>
  <c r="V854" i="31"/>
  <c r="U853" i="31" a="1"/>
  <c r="U853" i="31"/>
  <c r="W853" i="31" a="1"/>
  <c r="W853" i="31"/>
  <c r="V853" i="31" a="1"/>
  <c r="V853" i="31"/>
  <c r="U852" i="31" a="1"/>
  <c r="U852" i="31"/>
  <c r="W852" i="31" a="1"/>
  <c r="W852" i="31"/>
  <c r="V852" i="31" a="1"/>
  <c r="V852" i="31"/>
  <c r="U851" i="31" a="1"/>
  <c r="U851" i="31"/>
  <c r="W851" i="31" a="1"/>
  <c r="W851" i="31"/>
  <c r="V851" i="31" a="1"/>
  <c r="V851" i="31"/>
  <c r="U850" i="31" a="1"/>
  <c r="U850" i="31"/>
  <c r="W850" i="31" a="1"/>
  <c r="W850" i="31"/>
  <c r="V850" i="31" a="1"/>
  <c r="V850" i="31"/>
  <c r="U849" i="31" a="1"/>
  <c r="U849" i="31"/>
  <c r="W849" i="31" a="1"/>
  <c r="W849" i="31"/>
  <c r="V849" i="31" a="1"/>
  <c r="V849" i="31"/>
  <c r="U848" i="31" a="1"/>
  <c r="U848" i="31"/>
  <c r="W848" i="31" a="1"/>
  <c r="W848" i="31"/>
  <c r="V848" i="31" a="1"/>
  <c r="V848" i="31"/>
  <c r="U847" i="31" a="1"/>
  <c r="U847" i="31"/>
  <c r="W847" i="31" a="1"/>
  <c r="W847" i="31"/>
  <c r="V847" i="31" a="1"/>
  <c r="V847" i="31"/>
  <c r="U846" i="31" a="1"/>
  <c r="U846" i="31"/>
  <c r="W846" i="31" a="1"/>
  <c r="W846" i="31"/>
  <c r="V846" i="31" a="1"/>
  <c r="V846" i="31"/>
  <c r="U845" i="31" a="1"/>
  <c r="U845" i="31"/>
  <c r="W845" i="31" a="1"/>
  <c r="W845" i="31"/>
  <c r="V845" i="31" a="1"/>
  <c r="V845" i="31"/>
  <c r="U844" i="31" a="1"/>
  <c r="U844" i="31"/>
  <c r="W844" i="31" a="1"/>
  <c r="W844" i="31"/>
  <c r="V844" i="31" a="1"/>
  <c r="V844" i="31"/>
  <c r="U843" i="31" a="1"/>
  <c r="U843" i="31"/>
  <c r="W843" i="31" a="1"/>
  <c r="W843" i="31"/>
  <c r="V843" i="31" a="1"/>
  <c r="V843" i="31"/>
  <c r="U842" i="31" a="1"/>
  <c r="U842" i="31"/>
  <c r="W842" i="31" a="1"/>
  <c r="W842" i="31"/>
  <c r="V842" i="31" a="1"/>
  <c r="V842" i="31"/>
  <c r="U841" i="31" a="1"/>
  <c r="U841" i="31"/>
  <c r="W841" i="31" a="1"/>
  <c r="W841" i="31"/>
  <c r="V841" i="31" a="1"/>
  <c r="V841" i="31"/>
  <c r="U840" i="31" a="1"/>
  <c r="U840" i="31"/>
  <c r="W840" i="31" a="1"/>
  <c r="W840" i="31"/>
  <c r="V840" i="31" a="1"/>
  <c r="V840" i="31"/>
  <c r="U839" i="31" a="1"/>
  <c r="U839" i="31"/>
  <c r="W839" i="31" a="1"/>
  <c r="W839" i="31"/>
  <c r="V839" i="31" a="1"/>
  <c r="V839" i="31"/>
  <c r="U838" i="31" a="1"/>
  <c r="U838" i="31"/>
  <c r="W838" i="31" a="1"/>
  <c r="W838" i="31"/>
  <c r="V838" i="31" a="1"/>
  <c r="V838" i="31"/>
  <c r="U837" i="31" a="1"/>
  <c r="U837" i="31"/>
  <c r="W837" i="31" a="1"/>
  <c r="W837" i="31"/>
  <c r="V837" i="31" a="1"/>
  <c r="V837" i="31"/>
  <c r="U836" i="31" a="1"/>
  <c r="U836" i="31"/>
  <c r="W836" i="31" a="1"/>
  <c r="W836" i="31"/>
  <c r="V836" i="31" a="1"/>
  <c r="V836" i="31"/>
  <c r="U835" i="31" a="1"/>
  <c r="U835" i="31"/>
  <c r="W835" i="31" a="1"/>
  <c r="W835" i="31"/>
  <c r="V835" i="31" a="1"/>
  <c r="V835" i="31"/>
  <c r="U834" i="31" a="1"/>
  <c r="U834" i="31"/>
  <c r="W834" i="31" a="1"/>
  <c r="W834" i="31"/>
  <c r="V834" i="31" a="1"/>
  <c r="V834" i="31"/>
  <c r="U833" i="31" a="1"/>
  <c r="U833" i="31"/>
  <c r="W833" i="31" a="1"/>
  <c r="W833" i="31"/>
  <c r="V833" i="31" a="1"/>
  <c r="V833" i="31"/>
  <c r="U832" i="31" a="1"/>
  <c r="U832" i="31"/>
  <c r="W832" i="31" a="1"/>
  <c r="W832" i="31"/>
  <c r="V832" i="31" a="1"/>
  <c r="V832" i="31"/>
  <c r="U831" i="31" a="1"/>
  <c r="U831" i="31"/>
  <c r="W831" i="31" a="1"/>
  <c r="W831" i="31"/>
  <c r="V831" i="31" a="1"/>
  <c r="V831" i="31"/>
  <c r="U830" i="31" a="1"/>
  <c r="U830" i="31"/>
  <c r="W830" i="31" a="1"/>
  <c r="W830" i="31"/>
  <c r="V830" i="31" a="1"/>
  <c r="V830" i="31"/>
  <c r="U829" i="31" a="1"/>
  <c r="U829" i="31"/>
  <c r="W829" i="31" a="1"/>
  <c r="W829" i="31"/>
  <c r="V829" i="31" a="1"/>
  <c r="V829" i="31"/>
  <c r="U828" i="31" a="1"/>
  <c r="U828" i="31"/>
  <c r="W828" i="31" a="1"/>
  <c r="W828" i="31"/>
  <c r="V828" i="31" a="1"/>
  <c r="V828" i="31"/>
  <c r="U827" i="31" a="1"/>
  <c r="U827" i="31"/>
  <c r="W827" i="31" a="1"/>
  <c r="W827" i="31"/>
  <c r="V827" i="31" a="1"/>
  <c r="V827" i="31"/>
  <c r="U826" i="31" a="1"/>
  <c r="U826" i="31"/>
  <c r="W826" i="31" a="1"/>
  <c r="W826" i="31"/>
  <c r="V826" i="31" a="1"/>
  <c r="V826" i="31"/>
  <c r="U825" i="31" a="1"/>
  <c r="U825" i="31"/>
  <c r="W825" i="31" a="1"/>
  <c r="W825" i="31"/>
  <c r="V825" i="31" a="1"/>
  <c r="V825" i="31"/>
  <c r="U824" i="31" a="1"/>
  <c r="U824" i="31"/>
  <c r="W824" i="31" a="1"/>
  <c r="W824" i="31"/>
  <c r="V824" i="31" a="1"/>
  <c r="V824" i="31"/>
  <c r="U823" i="31" a="1"/>
  <c r="U823" i="31"/>
  <c r="W823" i="31" a="1"/>
  <c r="W823" i="31"/>
  <c r="V823" i="31" a="1"/>
  <c r="V823" i="31"/>
  <c r="U822" i="31" a="1"/>
  <c r="U822" i="31"/>
  <c r="W822" i="31" a="1"/>
  <c r="W822" i="31"/>
  <c r="V822" i="31" a="1"/>
  <c r="V822" i="31"/>
  <c r="U821" i="31" a="1"/>
  <c r="U821" i="31"/>
  <c r="W821" i="31" a="1"/>
  <c r="W821" i="31"/>
  <c r="V821" i="31" a="1"/>
  <c r="V821" i="31"/>
  <c r="U820" i="31" a="1"/>
  <c r="U820" i="31"/>
  <c r="W820" i="31" a="1"/>
  <c r="W820" i="31"/>
  <c r="V820" i="31" a="1"/>
  <c r="V820" i="31"/>
  <c r="U819" i="31" a="1"/>
  <c r="U819" i="31"/>
  <c r="W819" i="31" a="1"/>
  <c r="W819" i="31"/>
  <c r="V819" i="31" a="1"/>
  <c r="V819" i="31"/>
  <c r="U818" i="31" a="1"/>
  <c r="U818" i="31"/>
  <c r="W818" i="31" a="1"/>
  <c r="W818" i="31"/>
  <c r="V818" i="31" a="1"/>
  <c r="V818" i="31"/>
  <c r="U817" i="31" a="1"/>
  <c r="U817" i="31"/>
  <c r="W817" i="31" a="1"/>
  <c r="W817" i="31"/>
  <c r="V817" i="31" a="1"/>
  <c r="V817" i="31"/>
  <c r="U816" i="31" a="1"/>
  <c r="U816" i="31"/>
  <c r="W816" i="31" a="1"/>
  <c r="W816" i="31"/>
  <c r="V816" i="31" a="1"/>
  <c r="V816" i="31"/>
  <c r="U815" i="31" a="1"/>
  <c r="U815" i="31"/>
  <c r="W815" i="31" a="1"/>
  <c r="W815" i="31"/>
  <c r="V815" i="31" a="1"/>
  <c r="V815" i="31"/>
  <c r="U814" i="31" a="1"/>
  <c r="U814" i="31"/>
  <c r="W814" i="31" a="1"/>
  <c r="W814" i="31"/>
  <c r="V814" i="31" a="1"/>
  <c r="V814" i="31"/>
  <c r="U813" i="31" a="1"/>
  <c r="U813" i="31"/>
  <c r="W813" i="31" a="1"/>
  <c r="W813" i="31"/>
  <c r="V813" i="31" a="1"/>
  <c r="V813" i="31"/>
  <c r="U812" i="31" a="1"/>
  <c r="U812" i="31"/>
  <c r="W812" i="31" a="1"/>
  <c r="W812" i="31"/>
  <c r="V812" i="31" a="1"/>
  <c r="V812" i="31"/>
  <c r="U811" i="31" a="1"/>
  <c r="U811" i="31"/>
  <c r="W811" i="31" a="1"/>
  <c r="W811" i="31"/>
  <c r="V811" i="31" a="1"/>
  <c r="V811" i="31"/>
  <c r="U810" i="31" a="1"/>
  <c r="U810" i="31"/>
  <c r="W810" i="31" a="1"/>
  <c r="W810" i="31"/>
  <c r="V810" i="31" a="1"/>
  <c r="V810" i="31"/>
  <c r="U809" i="31" a="1"/>
  <c r="U809" i="31"/>
  <c r="W809" i="31" a="1"/>
  <c r="W809" i="31"/>
  <c r="V809" i="31" a="1"/>
  <c r="V809" i="31"/>
  <c r="U808" i="31" a="1"/>
  <c r="U808" i="31"/>
  <c r="W808" i="31" a="1"/>
  <c r="W808" i="31"/>
  <c r="V808" i="31" a="1"/>
  <c r="V808" i="31"/>
  <c r="U807" i="31" a="1"/>
  <c r="U807" i="31"/>
  <c r="W807" i="31" a="1"/>
  <c r="W807" i="31"/>
  <c r="V807" i="31" a="1"/>
  <c r="V807" i="31"/>
  <c r="U806" i="31" a="1"/>
  <c r="U806" i="31"/>
  <c r="W806" i="31" a="1"/>
  <c r="W806" i="31"/>
  <c r="V806" i="31" a="1"/>
  <c r="V806" i="31"/>
  <c r="U805" i="31" a="1"/>
  <c r="U805" i="31"/>
  <c r="W805" i="31" a="1"/>
  <c r="W805" i="31"/>
  <c r="V805" i="31" a="1"/>
  <c r="V805" i="31"/>
  <c r="U804" i="31" a="1"/>
  <c r="U804" i="31"/>
  <c r="W804" i="31" a="1"/>
  <c r="W804" i="31"/>
  <c r="V804" i="31" a="1"/>
  <c r="V804" i="31"/>
  <c r="U803" i="31" a="1"/>
  <c r="U803" i="31"/>
  <c r="W803" i="31" a="1"/>
  <c r="W803" i="31"/>
  <c r="V803" i="31" a="1"/>
  <c r="V803" i="31"/>
  <c r="U802" i="31" a="1"/>
  <c r="U802" i="31"/>
  <c r="W802" i="31" a="1"/>
  <c r="W802" i="31"/>
  <c r="V802" i="31" a="1"/>
  <c r="V802" i="31"/>
  <c r="U801" i="31" a="1"/>
  <c r="U801" i="31"/>
  <c r="W801" i="31" a="1"/>
  <c r="W801" i="31"/>
  <c r="V801" i="31" a="1"/>
  <c r="V801" i="31"/>
  <c r="U800" i="31" a="1"/>
  <c r="U800" i="31"/>
  <c r="W800" i="31" a="1"/>
  <c r="W800" i="31"/>
  <c r="V800" i="31" a="1"/>
  <c r="V800" i="31"/>
  <c r="U799" i="31" a="1"/>
  <c r="U799" i="31"/>
  <c r="W799" i="31" a="1"/>
  <c r="W799" i="31"/>
  <c r="V799" i="31" a="1"/>
  <c r="V799" i="31"/>
  <c r="U798" i="31" a="1"/>
  <c r="U798" i="31"/>
  <c r="W798" i="31" a="1"/>
  <c r="W798" i="31"/>
  <c r="V798" i="31" a="1"/>
  <c r="V798" i="31"/>
  <c r="U797" i="31" a="1"/>
  <c r="U797" i="31"/>
  <c r="W797" i="31" a="1"/>
  <c r="W797" i="31"/>
  <c r="V797" i="31" a="1"/>
  <c r="V797" i="31"/>
  <c r="U796" i="31" a="1"/>
  <c r="U796" i="31"/>
  <c r="W796" i="31" a="1"/>
  <c r="W796" i="31"/>
  <c r="V796" i="31" a="1"/>
  <c r="V796" i="31"/>
  <c r="U795" i="31" a="1"/>
  <c r="U795" i="31"/>
  <c r="W795" i="31" a="1"/>
  <c r="W795" i="31"/>
  <c r="V795" i="31" a="1"/>
  <c r="V795" i="31"/>
  <c r="U794" i="31" a="1"/>
  <c r="U794" i="31"/>
  <c r="W794" i="31" a="1"/>
  <c r="W794" i="31"/>
  <c r="V794" i="31" a="1"/>
  <c r="V794" i="31"/>
  <c r="U793" i="31" a="1"/>
  <c r="U793" i="31"/>
  <c r="W793" i="31" a="1"/>
  <c r="W793" i="31"/>
  <c r="V793" i="31" a="1"/>
  <c r="V793" i="31"/>
  <c r="U792" i="31" a="1"/>
  <c r="U792" i="31"/>
  <c r="W792" i="31" a="1"/>
  <c r="W792" i="31"/>
  <c r="V792" i="31" a="1"/>
  <c r="V792" i="31"/>
  <c r="U791" i="31" a="1"/>
  <c r="U791" i="31"/>
  <c r="W791" i="31" a="1"/>
  <c r="W791" i="31"/>
  <c r="V791" i="31" a="1"/>
  <c r="V791" i="31"/>
  <c r="U790" i="31" a="1"/>
  <c r="U790" i="31"/>
  <c r="W790" i="31" a="1"/>
  <c r="W790" i="31"/>
  <c r="V790" i="31" a="1"/>
  <c r="V790" i="31"/>
  <c r="U789" i="31" a="1"/>
  <c r="U789" i="31"/>
  <c r="W789" i="31" a="1"/>
  <c r="W789" i="31"/>
  <c r="V789" i="31" a="1"/>
  <c r="V789" i="31"/>
  <c r="U788" i="31" a="1"/>
  <c r="U788" i="31"/>
  <c r="W788" i="31" a="1"/>
  <c r="W788" i="31"/>
  <c r="V788" i="31" a="1"/>
  <c r="V788" i="31"/>
  <c r="U787" i="31" a="1"/>
  <c r="U787" i="31"/>
  <c r="W787" i="31" a="1"/>
  <c r="W787" i="31"/>
  <c r="V787" i="31" a="1"/>
  <c r="V787" i="31"/>
  <c r="U786" i="31" a="1"/>
  <c r="U786" i="31"/>
  <c r="W786" i="31" a="1"/>
  <c r="W786" i="31"/>
  <c r="V786" i="31" a="1"/>
  <c r="V786" i="31"/>
  <c r="U785" i="31" a="1"/>
  <c r="U785" i="31"/>
  <c r="W785" i="31" a="1"/>
  <c r="W785" i="31"/>
  <c r="V785" i="31" a="1"/>
  <c r="V785" i="31"/>
  <c r="U784" i="31" a="1"/>
  <c r="U784" i="31"/>
  <c r="W784" i="31" a="1"/>
  <c r="W784" i="31"/>
  <c r="V784" i="31" a="1"/>
  <c r="V784" i="31"/>
  <c r="U783" i="31" a="1"/>
  <c r="U783" i="31"/>
  <c r="W783" i="31" a="1"/>
  <c r="W783" i="31"/>
  <c r="V783" i="31" a="1"/>
  <c r="V783" i="31"/>
  <c r="U782" i="31" a="1"/>
  <c r="U782" i="31"/>
  <c r="W782" i="31" a="1"/>
  <c r="W782" i="31"/>
  <c r="V782" i="31" a="1"/>
  <c r="V782" i="31"/>
  <c r="U781" i="31" a="1"/>
  <c r="U781" i="31"/>
  <c r="W781" i="31" a="1"/>
  <c r="W781" i="31"/>
  <c r="V781" i="31" a="1"/>
  <c r="V781" i="31"/>
  <c r="U780" i="31" a="1"/>
  <c r="U780" i="31"/>
  <c r="W780" i="31" a="1"/>
  <c r="W780" i="31"/>
  <c r="V780" i="31" a="1"/>
  <c r="V780" i="31"/>
  <c r="U779" i="31" a="1"/>
  <c r="U779" i="31"/>
  <c r="W779" i="31" a="1"/>
  <c r="W779" i="31"/>
  <c r="V779" i="31" a="1"/>
  <c r="V779" i="31"/>
  <c r="U778" i="31" a="1"/>
  <c r="U778" i="31"/>
  <c r="W778" i="31" a="1"/>
  <c r="W778" i="31"/>
  <c r="V778" i="31" a="1"/>
  <c r="V778" i="31"/>
  <c r="U777" i="31" a="1"/>
  <c r="U777" i="31"/>
  <c r="W777" i="31" a="1"/>
  <c r="W777" i="31"/>
  <c r="V777" i="31" a="1"/>
  <c r="V777" i="31"/>
  <c r="U776" i="31" a="1"/>
  <c r="U776" i="31"/>
  <c r="W776" i="31" a="1"/>
  <c r="W776" i="31"/>
  <c r="V776" i="31" a="1"/>
  <c r="V776" i="31"/>
  <c r="U775" i="31" a="1"/>
  <c r="U775" i="31"/>
  <c r="W775" i="31" a="1"/>
  <c r="W775" i="31"/>
  <c r="V775" i="31" a="1"/>
  <c r="V775" i="31"/>
  <c r="U774" i="31" a="1"/>
  <c r="U774" i="31"/>
  <c r="W774" i="31" a="1"/>
  <c r="W774" i="31"/>
  <c r="V774" i="31" a="1"/>
  <c r="V774" i="31"/>
  <c r="U773" i="31" a="1"/>
  <c r="U773" i="31"/>
  <c r="W773" i="31" a="1"/>
  <c r="W773" i="31"/>
  <c r="V773" i="31" a="1"/>
  <c r="V773" i="31"/>
  <c r="U772" i="31" a="1"/>
  <c r="U772" i="31"/>
  <c r="W772" i="31" a="1"/>
  <c r="W772" i="31"/>
  <c r="V772" i="31" a="1"/>
  <c r="V772" i="31"/>
  <c r="U771" i="31" a="1"/>
  <c r="U771" i="31"/>
  <c r="W771" i="31" a="1"/>
  <c r="W771" i="31"/>
  <c r="V771" i="31" a="1"/>
  <c r="V771" i="31"/>
  <c r="U770" i="31" a="1"/>
  <c r="U770" i="31"/>
  <c r="W770" i="31" a="1"/>
  <c r="W770" i="31"/>
  <c r="V770" i="31" a="1"/>
  <c r="V770" i="31"/>
  <c r="U769" i="31" a="1"/>
  <c r="U769" i="31"/>
  <c r="W769" i="31" a="1"/>
  <c r="W769" i="31"/>
  <c r="V769" i="31" a="1"/>
  <c r="V769" i="31"/>
  <c r="U768" i="31" a="1"/>
  <c r="U768" i="31"/>
  <c r="W768" i="31" a="1"/>
  <c r="W768" i="31"/>
  <c r="V768" i="31" a="1"/>
  <c r="V768" i="31"/>
  <c r="U767" i="31" a="1"/>
  <c r="U767" i="31"/>
  <c r="W767" i="31" a="1"/>
  <c r="W767" i="31"/>
  <c r="V767" i="31" a="1"/>
  <c r="V767" i="31"/>
  <c r="U766" i="31" a="1"/>
  <c r="U766" i="31"/>
  <c r="W766" i="31" a="1"/>
  <c r="W766" i="31"/>
  <c r="V766" i="31" a="1"/>
  <c r="V766" i="31"/>
  <c r="U765" i="31" a="1"/>
  <c r="U765" i="31"/>
  <c r="W765" i="31" a="1"/>
  <c r="W765" i="31"/>
  <c r="V765" i="31" a="1"/>
  <c r="V765" i="31"/>
  <c r="U764" i="31" a="1"/>
  <c r="U764" i="31"/>
  <c r="W764" i="31" a="1"/>
  <c r="W764" i="31"/>
  <c r="V764" i="31" a="1"/>
  <c r="V764" i="31"/>
  <c r="U763" i="31" a="1"/>
  <c r="U763" i="31"/>
  <c r="W763" i="31" a="1"/>
  <c r="W763" i="31"/>
  <c r="V763" i="31" a="1"/>
  <c r="V763" i="31"/>
  <c r="U762" i="31" a="1"/>
  <c r="U762" i="31"/>
  <c r="W762" i="31" a="1"/>
  <c r="W762" i="31"/>
  <c r="V762" i="31" a="1"/>
  <c r="V762" i="31"/>
  <c r="U761" i="31" a="1"/>
  <c r="U761" i="31"/>
  <c r="W761" i="31" a="1"/>
  <c r="W761" i="31"/>
  <c r="V761" i="31" a="1"/>
  <c r="V761" i="31"/>
  <c r="U760" i="31" a="1"/>
  <c r="U760" i="31"/>
  <c r="W760" i="31" a="1"/>
  <c r="W760" i="31"/>
  <c r="V760" i="31" a="1"/>
  <c r="V760" i="31"/>
  <c r="U759" i="31" a="1"/>
  <c r="U759" i="31"/>
  <c r="W759" i="31" a="1"/>
  <c r="W759" i="31"/>
  <c r="V759" i="31" a="1"/>
  <c r="V759" i="31"/>
  <c r="U758" i="31" a="1"/>
  <c r="U758" i="31"/>
  <c r="W758" i="31" a="1"/>
  <c r="W758" i="31"/>
  <c r="V758" i="31" a="1"/>
  <c r="V758" i="31"/>
  <c r="U757" i="31" a="1"/>
  <c r="U757" i="31"/>
  <c r="W757" i="31" a="1"/>
  <c r="W757" i="31"/>
  <c r="V757" i="31" a="1"/>
  <c r="V757" i="31"/>
  <c r="U756" i="31" a="1"/>
  <c r="U756" i="31"/>
  <c r="W756" i="31" a="1"/>
  <c r="W756" i="31"/>
  <c r="V756" i="31" a="1"/>
  <c r="V756" i="31"/>
  <c r="U755" i="31" a="1"/>
  <c r="U755" i="31"/>
  <c r="W755" i="31" a="1"/>
  <c r="W755" i="31"/>
  <c r="V755" i="31" a="1"/>
  <c r="V755" i="31"/>
  <c r="U754" i="31" a="1"/>
  <c r="U754" i="31"/>
  <c r="W754" i="31" a="1"/>
  <c r="W754" i="31"/>
  <c r="V754" i="31" a="1"/>
  <c r="V754" i="31"/>
  <c r="U753" i="31" a="1"/>
  <c r="U753" i="31"/>
  <c r="W753" i="31" a="1"/>
  <c r="W753" i="31"/>
  <c r="V753" i="31" a="1"/>
  <c r="V753" i="31"/>
  <c r="U752" i="31" a="1"/>
  <c r="U752" i="31"/>
  <c r="W752" i="31" a="1"/>
  <c r="W752" i="31"/>
  <c r="V752" i="31" a="1"/>
  <c r="V752" i="31"/>
  <c r="U751" i="31" a="1"/>
  <c r="U751" i="31"/>
  <c r="W751" i="31" a="1"/>
  <c r="W751" i="31"/>
  <c r="V751" i="31" a="1"/>
  <c r="V751" i="31"/>
  <c r="U750" i="31" a="1"/>
  <c r="U750" i="31"/>
  <c r="W750" i="31" a="1"/>
  <c r="W750" i="31"/>
  <c r="V750" i="31" a="1"/>
  <c r="V750" i="31"/>
  <c r="U749" i="31" a="1"/>
  <c r="U749" i="31"/>
  <c r="W749" i="31" a="1"/>
  <c r="W749" i="31"/>
  <c r="V749" i="31" a="1"/>
  <c r="V749" i="31"/>
  <c r="U748" i="31" a="1"/>
  <c r="U748" i="31"/>
  <c r="W748" i="31" a="1"/>
  <c r="W748" i="31"/>
  <c r="V748" i="31" a="1"/>
  <c r="V748" i="31"/>
  <c r="U747" i="31" a="1"/>
  <c r="U747" i="31"/>
  <c r="W747" i="31" a="1"/>
  <c r="W747" i="31"/>
  <c r="V747" i="31" a="1"/>
  <c r="V747" i="31"/>
  <c r="U746" i="31" a="1"/>
  <c r="U746" i="31"/>
  <c r="W746" i="31" a="1"/>
  <c r="W746" i="31"/>
  <c r="V746" i="31" a="1"/>
  <c r="V746" i="31"/>
  <c r="U745" i="31" a="1"/>
  <c r="U745" i="31"/>
  <c r="W745" i="31" a="1"/>
  <c r="W745" i="31"/>
  <c r="V745" i="31" a="1"/>
  <c r="V745" i="31"/>
  <c r="U744" i="31" a="1"/>
  <c r="U744" i="31"/>
  <c r="W744" i="31" a="1"/>
  <c r="W744" i="31"/>
  <c r="V744" i="31" a="1"/>
  <c r="V744" i="31"/>
  <c r="U743" i="31" a="1"/>
  <c r="U743" i="31"/>
  <c r="W743" i="31" a="1"/>
  <c r="W743" i="31"/>
  <c r="V743" i="31" a="1"/>
  <c r="V743" i="31"/>
  <c r="U742" i="31" a="1"/>
  <c r="U742" i="31"/>
  <c r="W742" i="31" a="1"/>
  <c r="W742" i="31"/>
  <c r="V742" i="31" a="1"/>
  <c r="V742" i="31"/>
  <c r="U741" i="31" a="1"/>
  <c r="U741" i="31"/>
  <c r="W741" i="31" a="1"/>
  <c r="W741" i="31"/>
  <c r="V741" i="31" a="1"/>
  <c r="V741" i="31"/>
  <c r="U740" i="31" a="1"/>
  <c r="U740" i="31"/>
  <c r="W740" i="31" a="1"/>
  <c r="W740" i="31"/>
  <c r="V740" i="31" a="1"/>
  <c r="V740" i="31"/>
  <c r="U739" i="31" a="1"/>
  <c r="U739" i="31"/>
  <c r="W739" i="31" a="1"/>
  <c r="W739" i="31"/>
  <c r="V739" i="31" a="1"/>
  <c r="V739" i="31"/>
  <c r="U738" i="31" a="1"/>
  <c r="U738" i="31"/>
  <c r="W738" i="31" a="1"/>
  <c r="W738" i="31"/>
  <c r="V738" i="31" a="1"/>
  <c r="V738" i="31"/>
  <c r="U737" i="31" a="1"/>
  <c r="U737" i="31"/>
  <c r="W737" i="31" a="1"/>
  <c r="W737" i="31"/>
  <c r="V737" i="31" a="1"/>
  <c r="V737" i="31"/>
  <c r="U736" i="31" a="1"/>
  <c r="U736" i="31"/>
  <c r="W736" i="31" a="1"/>
  <c r="W736" i="31"/>
  <c r="V736" i="31" a="1"/>
  <c r="V736" i="31"/>
  <c r="U735" i="31" a="1"/>
  <c r="U735" i="31"/>
  <c r="W735" i="31" a="1"/>
  <c r="W735" i="31"/>
  <c r="V735" i="31" a="1"/>
  <c r="V735" i="31"/>
  <c r="U734" i="31" a="1"/>
  <c r="U734" i="31"/>
  <c r="W734" i="31" a="1"/>
  <c r="W734" i="31"/>
  <c r="V734" i="31" a="1"/>
  <c r="V734" i="31"/>
  <c r="U733" i="31" a="1"/>
  <c r="U733" i="31"/>
  <c r="W733" i="31" a="1"/>
  <c r="W733" i="31"/>
  <c r="V733" i="31" a="1"/>
  <c r="V733" i="31"/>
  <c r="U732" i="31" a="1"/>
  <c r="U732" i="31"/>
  <c r="W732" i="31" a="1"/>
  <c r="W732" i="31"/>
  <c r="V732" i="31" a="1"/>
  <c r="V732" i="31"/>
  <c r="U731" i="31" a="1"/>
  <c r="U731" i="31"/>
  <c r="W731" i="31" a="1"/>
  <c r="W731" i="31"/>
  <c r="V731" i="31" a="1"/>
  <c r="V731" i="31"/>
  <c r="U730" i="31" a="1"/>
  <c r="U730" i="31"/>
  <c r="W730" i="31" a="1"/>
  <c r="W730" i="31"/>
  <c r="V730" i="31" a="1"/>
  <c r="V730" i="31"/>
  <c r="U729" i="31" a="1"/>
  <c r="U729" i="31"/>
  <c r="W729" i="31" a="1"/>
  <c r="W729" i="31"/>
  <c r="V729" i="31" a="1"/>
  <c r="V729" i="31"/>
  <c r="U728" i="31" a="1"/>
  <c r="U728" i="31"/>
  <c r="W728" i="31" a="1"/>
  <c r="W728" i="31"/>
  <c r="V728" i="31" a="1"/>
  <c r="V728" i="31"/>
  <c r="U727" i="31" a="1"/>
  <c r="U727" i="31"/>
  <c r="W727" i="31" a="1"/>
  <c r="W727" i="31"/>
  <c r="V727" i="31" a="1"/>
  <c r="V727" i="31"/>
  <c r="U726" i="31" a="1"/>
  <c r="U726" i="31"/>
  <c r="W726" i="31" a="1"/>
  <c r="W726" i="31"/>
  <c r="V726" i="31" a="1"/>
  <c r="V726" i="31"/>
  <c r="U725" i="31" a="1"/>
  <c r="U725" i="31"/>
  <c r="W725" i="31" a="1"/>
  <c r="W725" i="31"/>
  <c r="V725" i="31" a="1"/>
  <c r="V725" i="31"/>
  <c r="U724" i="31" a="1"/>
  <c r="U724" i="31"/>
  <c r="W724" i="31" a="1"/>
  <c r="W724" i="31"/>
  <c r="V724" i="31" a="1"/>
  <c r="V724" i="31"/>
  <c r="U723" i="31" a="1"/>
  <c r="U723" i="31"/>
  <c r="W723" i="31" a="1"/>
  <c r="W723" i="31"/>
  <c r="V723" i="31" a="1"/>
  <c r="V723" i="31"/>
  <c r="U722" i="31" a="1"/>
  <c r="U722" i="31"/>
  <c r="W722" i="31" a="1"/>
  <c r="W722" i="31"/>
  <c r="V722" i="31" a="1"/>
  <c r="V722" i="31"/>
  <c r="U721" i="31" a="1"/>
  <c r="U721" i="31"/>
  <c r="W721" i="31" a="1"/>
  <c r="W721" i="31"/>
  <c r="V721" i="31" a="1"/>
  <c r="V721" i="31"/>
  <c r="U720" i="31" a="1"/>
  <c r="U720" i="31"/>
  <c r="W720" i="31" a="1"/>
  <c r="W720" i="31"/>
  <c r="V720" i="31" a="1"/>
  <c r="V720" i="31"/>
  <c r="U719" i="31" a="1"/>
  <c r="U719" i="31"/>
  <c r="W719" i="31" a="1"/>
  <c r="W719" i="31"/>
  <c r="V719" i="31" a="1"/>
  <c r="V719" i="31"/>
  <c r="U718" i="31" a="1"/>
  <c r="U718" i="31"/>
  <c r="W718" i="31" a="1"/>
  <c r="W718" i="31"/>
  <c r="V718" i="31" a="1"/>
  <c r="V718" i="31"/>
  <c r="U717" i="31" a="1"/>
  <c r="U717" i="31"/>
  <c r="W717" i="31" a="1"/>
  <c r="W717" i="31"/>
  <c r="V717" i="31" a="1"/>
  <c r="V717" i="31"/>
  <c r="U716" i="31" a="1"/>
  <c r="U716" i="31"/>
  <c r="W716" i="31" a="1"/>
  <c r="W716" i="31"/>
  <c r="V716" i="31" a="1"/>
  <c r="V716" i="31"/>
  <c r="U715" i="31" a="1"/>
  <c r="U715" i="31"/>
  <c r="W715" i="31" a="1"/>
  <c r="W715" i="31"/>
  <c r="V715" i="31" a="1"/>
  <c r="V715" i="31"/>
  <c r="U714" i="31" a="1"/>
  <c r="U714" i="31"/>
  <c r="W714" i="31" a="1"/>
  <c r="W714" i="31"/>
  <c r="V714" i="31" a="1"/>
  <c r="V714" i="31"/>
  <c r="U713" i="31" a="1"/>
  <c r="U713" i="31"/>
  <c r="W713" i="31" a="1"/>
  <c r="W713" i="31"/>
  <c r="V713" i="31" a="1"/>
  <c r="V713" i="31"/>
  <c r="U712" i="31" a="1"/>
  <c r="U712" i="31"/>
  <c r="W712" i="31" a="1"/>
  <c r="W712" i="31"/>
  <c r="V712" i="31" a="1"/>
  <c r="V712" i="31"/>
  <c r="U711" i="31" a="1"/>
  <c r="U711" i="31"/>
  <c r="W711" i="31" a="1"/>
  <c r="W711" i="31"/>
  <c r="V711" i="31" a="1"/>
  <c r="V711" i="31"/>
  <c r="U710" i="31" a="1"/>
  <c r="U710" i="31"/>
  <c r="W710" i="31" a="1"/>
  <c r="W710" i="31"/>
  <c r="V710" i="31" a="1"/>
  <c r="V710" i="31"/>
  <c r="U709" i="31" a="1"/>
  <c r="U709" i="31"/>
  <c r="W709" i="31" a="1"/>
  <c r="W709" i="31"/>
  <c r="V709" i="31" a="1"/>
  <c r="V709" i="31"/>
  <c r="U708" i="31" a="1"/>
  <c r="U708" i="31"/>
  <c r="W708" i="31" a="1"/>
  <c r="W708" i="31"/>
  <c r="V708" i="31" a="1"/>
  <c r="V708" i="31"/>
  <c r="U707" i="31" a="1"/>
  <c r="U707" i="31"/>
  <c r="W707" i="31" a="1"/>
  <c r="W707" i="31"/>
  <c r="V707" i="31" a="1"/>
  <c r="V707" i="31"/>
  <c r="U706" i="31" a="1"/>
  <c r="U706" i="31"/>
  <c r="W706" i="31" a="1"/>
  <c r="W706" i="31"/>
  <c r="V706" i="31" a="1"/>
  <c r="V706" i="31"/>
  <c r="U705" i="31" a="1"/>
  <c r="U705" i="31"/>
  <c r="W705" i="31" a="1"/>
  <c r="W705" i="31"/>
  <c r="V705" i="31" a="1"/>
  <c r="V705" i="31"/>
  <c r="U704" i="31" a="1"/>
  <c r="U704" i="31"/>
  <c r="W704" i="31" a="1"/>
  <c r="W704" i="31"/>
  <c r="V704" i="31" a="1"/>
  <c r="V704" i="31"/>
  <c r="U703" i="31" a="1"/>
  <c r="U703" i="31"/>
  <c r="W703" i="31" a="1"/>
  <c r="W703" i="31"/>
  <c r="V703" i="31" a="1"/>
  <c r="V703" i="31"/>
  <c r="U702" i="31" a="1"/>
  <c r="U702" i="31"/>
  <c r="W702" i="31" a="1"/>
  <c r="W702" i="31"/>
  <c r="V702" i="31" a="1"/>
  <c r="V702" i="31"/>
  <c r="U701" i="31" a="1"/>
  <c r="U701" i="31"/>
  <c r="W701" i="31" a="1"/>
  <c r="W701" i="31"/>
  <c r="V701" i="31" a="1"/>
  <c r="V701" i="31"/>
  <c r="U700" i="31" a="1"/>
  <c r="U700" i="31"/>
  <c r="W700" i="31" a="1"/>
  <c r="W700" i="31"/>
  <c r="V700" i="31" a="1"/>
  <c r="V700" i="31"/>
  <c r="U699" i="31" a="1"/>
  <c r="U699" i="31"/>
  <c r="W699" i="31" a="1"/>
  <c r="W699" i="31"/>
  <c r="V699" i="31" a="1"/>
  <c r="V699" i="31"/>
  <c r="U698" i="31" a="1"/>
  <c r="U698" i="31"/>
  <c r="W698" i="31" a="1"/>
  <c r="W698" i="31"/>
  <c r="V698" i="31" a="1"/>
  <c r="V698" i="31"/>
  <c r="U697" i="31" a="1"/>
  <c r="U697" i="31"/>
  <c r="W697" i="31" a="1"/>
  <c r="W697" i="31"/>
  <c r="V697" i="31" a="1"/>
  <c r="V697" i="31"/>
  <c r="U696" i="31" a="1"/>
  <c r="U696" i="31"/>
  <c r="W696" i="31" a="1"/>
  <c r="W696" i="31"/>
  <c r="V696" i="31" a="1"/>
  <c r="V696" i="31"/>
  <c r="U695" i="31" a="1"/>
  <c r="U695" i="31"/>
  <c r="W695" i="31" a="1"/>
  <c r="W695" i="31"/>
  <c r="V695" i="31" a="1"/>
  <c r="V695" i="31"/>
  <c r="U694" i="31" a="1"/>
  <c r="U694" i="31"/>
  <c r="W694" i="31" a="1"/>
  <c r="W694" i="31"/>
  <c r="V694" i="31" a="1"/>
  <c r="V694" i="31"/>
  <c r="U693" i="31" a="1"/>
  <c r="U693" i="31"/>
  <c r="W693" i="31" a="1"/>
  <c r="W693" i="31"/>
  <c r="V693" i="31" a="1"/>
  <c r="V693" i="31"/>
  <c r="U692" i="31" a="1"/>
  <c r="U692" i="31"/>
  <c r="W692" i="31" a="1"/>
  <c r="W692" i="31"/>
  <c r="V692" i="31" a="1"/>
  <c r="V692" i="31"/>
  <c r="U691" i="31" a="1"/>
  <c r="U691" i="31"/>
  <c r="W691" i="31" a="1"/>
  <c r="W691" i="31"/>
  <c r="V691" i="31" a="1"/>
  <c r="V691" i="31"/>
  <c r="U690" i="31" a="1"/>
  <c r="U690" i="31"/>
  <c r="W690" i="31" a="1"/>
  <c r="W690" i="31"/>
  <c r="V690" i="31" a="1"/>
  <c r="V690" i="31"/>
  <c r="U689" i="31" a="1"/>
  <c r="U689" i="31"/>
  <c r="W689" i="31" a="1"/>
  <c r="W689" i="31"/>
  <c r="V689" i="31" a="1"/>
  <c r="V689" i="31"/>
  <c r="U688" i="31" a="1"/>
  <c r="U688" i="31"/>
  <c r="W688" i="31" a="1"/>
  <c r="W688" i="31"/>
  <c r="V688" i="31" a="1"/>
  <c r="V688" i="31"/>
  <c r="U687" i="31" a="1"/>
  <c r="U687" i="31"/>
  <c r="W687" i="31" a="1"/>
  <c r="W687" i="31"/>
  <c r="V687" i="31" a="1"/>
  <c r="V687" i="31"/>
  <c r="U686" i="31" a="1"/>
  <c r="U686" i="31"/>
  <c r="W686" i="31" a="1"/>
  <c r="W686" i="31"/>
  <c r="V686" i="31" a="1"/>
  <c r="V686" i="31"/>
  <c r="U685" i="31" a="1"/>
  <c r="U685" i="31"/>
  <c r="W685" i="31" a="1"/>
  <c r="W685" i="31"/>
  <c r="V685" i="31" a="1"/>
  <c r="V685" i="31"/>
  <c r="U684" i="31" a="1"/>
  <c r="U684" i="31"/>
  <c r="W684" i="31" a="1"/>
  <c r="W684" i="31"/>
  <c r="V684" i="31" a="1"/>
  <c r="V684" i="31"/>
  <c r="U683" i="31" a="1"/>
  <c r="U683" i="31"/>
  <c r="W683" i="31" a="1"/>
  <c r="W683" i="31"/>
  <c r="V683" i="31" a="1"/>
  <c r="V683" i="31"/>
  <c r="U682" i="31" a="1"/>
  <c r="U682" i="31"/>
  <c r="W682" i="31" a="1"/>
  <c r="W682" i="31"/>
  <c r="V682" i="31" a="1"/>
  <c r="V682" i="31"/>
  <c r="U681" i="31" a="1"/>
  <c r="U681" i="31"/>
  <c r="W681" i="31" a="1"/>
  <c r="W681" i="31"/>
  <c r="V681" i="31" a="1"/>
  <c r="V681" i="31"/>
  <c r="U680" i="31" a="1"/>
  <c r="U680" i="31"/>
  <c r="W680" i="31" a="1"/>
  <c r="W680" i="31"/>
  <c r="V680" i="31" a="1"/>
  <c r="V680" i="31"/>
  <c r="U679" i="31" a="1"/>
  <c r="U679" i="31"/>
  <c r="W679" i="31" a="1"/>
  <c r="W679" i="31"/>
  <c r="V679" i="31" a="1"/>
  <c r="V679" i="31"/>
  <c r="U678" i="31" a="1"/>
  <c r="U678" i="31"/>
  <c r="W678" i="31" a="1"/>
  <c r="W678" i="31"/>
  <c r="V678" i="31" a="1"/>
  <c r="V678" i="31"/>
  <c r="U677" i="31" a="1"/>
  <c r="U677" i="31"/>
  <c r="W677" i="31" a="1"/>
  <c r="W677" i="31"/>
  <c r="V677" i="31" a="1"/>
  <c r="V677" i="31"/>
  <c r="U676" i="31" a="1"/>
  <c r="U676" i="31"/>
  <c r="W676" i="31" a="1"/>
  <c r="W676" i="31"/>
  <c r="V676" i="31" a="1"/>
  <c r="V676" i="31"/>
  <c r="U675" i="31" a="1"/>
  <c r="U675" i="31"/>
  <c r="W675" i="31" a="1"/>
  <c r="W675" i="31"/>
  <c r="V675" i="31" a="1"/>
  <c r="V675" i="31"/>
  <c r="U674" i="31" a="1"/>
  <c r="U674" i="31"/>
  <c r="W674" i="31" a="1"/>
  <c r="W674" i="31"/>
  <c r="V674" i="31" a="1"/>
  <c r="V674" i="31"/>
  <c r="U673" i="31" a="1"/>
  <c r="U673" i="31"/>
  <c r="W673" i="31" a="1"/>
  <c r="W673" i="31"/>
  <c r="V673" i="31" a="1"/>
  <c r="V673" i="31"/>
  <c r="U672" i="31" a="1"/>
  <c r="U672" i="31"/>
  <c r="W672" i="31" a="1"/>
  <c r="W672" i="31"/>
  <c r="V672" i="31" a="1"/>
  <c r="V672" i="31"/>
  <c r="U671" i="31" a="1"/>
  <c r="U671" i="31"/>
  <c r="W671" i="31" a="1"/>
  <c r="W671" i="31"/>
  <c r="V671" i="31" a="1"/>
  <c r="V671" i="31"/>
  <c r="U670" i="31" a="1"/>
  <c r="U670" i="31"/>
  <c r="W670" i="31" a="1"/>
  <c r="W670" i="31"/>
  <c r="V670" i="31" a="1"/>
  <c r="V670" i="31"/>
  <c r="U669" i="31" a="1"/>
  <c r="U669" i="31"/>
  <c r="W669" i="31" a="1"/>
  <c r="W669" i="31"/>
  <c r="V669" i="31" a="1"/>
  <c r="V669" i="31"/>
  <c r="U668" i="31" a="1"/>
  <c r="U668" i="31"/>
  <c r="W668" i="31" a="1"/>
  <c r="W668" i="31"/>
  <c r="V668" i="31" a="1"/>
  <c r="V668" i="31"/>
  <c r="U667" i="31" a="1"/>
  <c r="U667" i="31"/>
  <c r="W667" i="31" a="1"/>
  <c r="W667" i="31"/>
  <c r="V667" i="31" a="1"/>
  <c r="V667" i="31"/>
  <c r="U666" i="31" a="1"/>
  <c r="U666" i="31"/>
  <c r="W666" i="31" a="1"/>
  <c r="W666" i="31"/>
  <c r="V666" i="31" a="1"/>
  <c r="V666" i="31"/>
  <c r="U665" i="31" a="1"/>
  <c r="U665" i="31"/>
  <c r="W665" i="31" a="1"/>
  <c r="W665" i="31"/>
  <c r="V665" i="31" a="1"/>
  <c r="V665" i="31"/>
  <c r="U664" i="31" a="1"/>
  <c r="U664" i="31"/>
  <c r="W664" i="31" a="1"/>
  <c r="W664" i="31"/>
  <c r="V664" i="31" a="1"/>
  <c r="V664" i="31"/>
  <c r="U663" i="31" a="1"/>
  <c r="U663" i="31"/>
  <c r="W663" i="31" a="1"/>
  <c r="W663" i="31"/>
  <c r="V663" i="31" a="1"/>
  <c r="V663" i="31"/>
  <c r="U662" i="31" a="1"/>
  <c r="U662" i="31"/>
  <c r="W662" i="31" a="1"/>
  <c r="W662" i="31"/>
  <c r="V662" i="31" a="1"/>
  <c r="V662" i="31"/>
  <c r="U661" i="31" a="1"/>
  <c r="U661" i="31"/>
  <c r="W661" i="31" a="1"/>
  <c r="W661" i="31"/>
  <c r="V661" i="31" a="1"/>
  <c r="V661" i="31"/>
  <c r="U660" i="31" a="1"/>
  <c r="U660" i="31"/>
  <c r="W660" i="31" a="1"/>
  <c r="W660" i="31"/>
  <c r="V660" i="31" a="1"/>
  <c r="V660" i="31"/>
  <c r="U659" i="31" a="1"/>
  <c r="U659" i="31"/>
  <c r="W659" i="31" a="1"/>
  <c r="W659" i="31"/>
  <c r="V659" i="31" a="1"/>
  <c r="V659" i="31"/>
  <c r="U658" i="31" a="1"/>
  <c r="U658" i="31"/>
  <c r="W658" i="31" a="1"/>
  <c r="W658" i="31"/>
  <c r="V658" i="31" a="1"/>
  <c r="V658" i="31"/>
  <c r="U657" i="31" a="1"/>
  <c r="U657" i="31"/>
  <c r="W657" i="31" a="1"/>
  <c r="W657" i="31"/>
  <c r="V657" i="31" a="1"/>
  <c r="V657" i="31"/>
  <c r="U656" i="31" a="1"/>
  <c r="U656" i="31"/>
  <c r="W656" i="31" a="1"/>
  <c r="W656" i="31"/>
  <c r="V656" i="31" a="1"/>
  <c r="V656" i="31"/>
  <c r="U655" i="31" a="1"/>
  <c r="U655" i="31"/>
  <c r="W655" i="31" a="1"/>
  <c r="W655" i="31"/>
  <c r="V655" i="31" a="1"/>
  <c r="V655" i="31"/>
  <c r="U654" i="31" a="1"/>
  <c r="U654" i="31"/>
  <c r="W654" i="31" a="1"/>
  <c r="W654" i="31"/>
  <c r="V654" i="31" a="1"/>
  <c r="V654" i="31"/>
  <c r="U653" i="31" a="1"/>
  <c r="U653" i="31"/>
  <c r="W653" i="31" a="1"/>
  <c r="W653" i="31"/>
  <c r="V653" i="31" a="1"/>
  <c r="V653" i="31"/>
  <c r="U652" i="31" a="1"/>
  <c r="U652" i="31"/>
  <c r="W652" i="31" a="1"/>
  <c r="W652" i="31"/>
  <c r="V652" i="31" a="1"/>
  <c r="V652" i="31"/>
  <c r="U651" i="31" a="1"/>
  <c r="U651" i="31"/>
  <c r="W651" i="31" a="1"/>
  <c r="W651" i="31"/>
  <c r="V651" i="31" a="1"/>
  <c r="V651" i="31"/>
  <c r="U650" i="31" a="1"/>
  <c r="U650" i="31"/>
  <c r="W650" i="31" a="1"/>
  <c r="W650" i="31"/>
  <c r="V650" i="31" a="1"/>
  <c r="V650" i="31"/>
  <c r="U649" i="31" a="1"/>
  <c r="U649" i="31"/>
  <c r="W649" i="31" a="1"/>
  <c r="W649" i="31"/>
  <c r="V649" i="31" a="1"/>
  <c r="V649" i="31"/>
  <c r="U648" i="31" a="1"/>
  <c r="U648" i="31"/>
  <c r="W648" i="31" a="1"/>
  <c r="W648" i="31"/>
  <c r="V648" i="31" a="1"/>
  <c r="V648" i="31"/>
  <c r="U647" i="31" a="1"/>
  <c r="U647" i="31"/>
  <c r="W647" i="31" a="1"/>
  <c r="W647" i="31"/>
  <c r="V647" i="31" a="1"/>
  <c r="V647" i="31"/>
  <c r="U646" i="31" a="1"/>
  <c r="U646" i="31"/>
  <c r="W646" i="31" a="1"/>
  <c r="W646" i="31"/>
  <c r="V646" i="31" a="1"/>
  <c r="V646" i="31"/>
  <c r="U645" i="31" a="1"/>
  <c r="U645" i="31"/>
  <c r="W645" i="31" a="1"/>
  <c r="W645" i="31"/>
  <c r="V645" i="31" a="1"/>
  <c r="V645" i="31"/>
  <c r="U644" i="31" a="1"/>
  <c r="U644" i="31"/>
  <c r="W644" i="31" a="1"/>
  <c r="W644" i="31"/>
  <c r="V644" i="31" a="1"/>
  <c r="V644" i="31"/>
  <c r="U643" i="31" a="1"/>
  <c r="U643" i="31"/>
  <c r="W643" i="31" a="1"/>
  <c r="W643" i="31"/>
  <c r="V643" i="31" a="1"/>
  <c r="V643" i="31"/>
  <c r="U642" i="31" a="1"/>
  <c r="U642" i="31"/>
  <c r="W642" i="31" a="1"/>
  <c r="W642" i="31"/>
  <c r="V642" i="31" a="1"/>
  <c r="V642" i="31"/>
  <c r="U641" i="31" a="1"/>
  <c r="U641" i="31"/>
  <c r="W641" i="31" a="1"/>
  <c r="W641" i="31"/>
  <c r="V641" i="31" a="1"/>
  <c r="V641" i="31"/>
  <c r="U640" i="31" a="1"/>
  <c r="U640" i="31"/>
  <c r="W640" i="31" a="1"/>
  <c r="W640" i="31"/>
  <c r="V640" i="31" a="1"/>
  <c r="V640" i="31"/>
  <c r="U639" i="31" a="1"/>
  <c r="U639" i="31"/>
  <c r="W639" i="31" a="1"/>
  <c r="W639" i="31"/>
  <c r="V639" i="31" a="1"/>
  <c r="V639" i="31"/>
  <c r="U638" i="31" a="1"/>
  <c r="U638" i="31"/>
  <c r="W638" i="31" a="1"/>
  <c r="W638" i="31"/>
  <c r="V638" i="31" a="1"/>
  <c r="V638" i="31"/>
  <c r="U637" i="31" a="1"/>
  <c r="U637" i="31"/>
  <c r="W637" i="31" a="1"/>
  <c r="W637" i="31"/>
  <c r="V637" i="31" a="1"/>
  <c r="V637" i="31"/>
  <c r="U636" i="31" a="1"/>
  <c r="U636" i="31"/>
  <c r="W636" i="31" a="1"/>
  <c r="W636" i="31"/>
  <c r="V636" i="31" a="1"/>
  <c r="V636" i="31"/>
  <c r="U635" i="31" a="1"/>
  <c r="U635" i="31"/>
  <c r="W635" i="31" a="1"/>
  <c r="W635" i="31"/>
  <c r="V635" i="31" a="1"/>
  <c r="V635" i="31"/>
  <c r="U634" i="31" a="1"/>
  <c r="U634" i="31"/>
  <c r="W634" i="31" a="1"/>
  <c r="W634" i="31"/>
  <c r="V634" i="31" a="1"/>
  <c r="V634" i="31"/>
  <c r="U633" i="31" a="1"/>
  <c r="U633" i="31"/>
  <c r="W633" i="31" a="1"/>
  <c r="W633" i="31"/>
  <c r="V633" i="31" a="1"/>
  <c r="V633" i="31"/>
  <c r="U632" i="31" a="1"/>
  <c r="U632" i="31"/>
  <c r="W632" i="31" a="1"/>
  <c r="W632" i="31"/>
  <c r="V632" i="31" a="1"/>
  <c r="V632" i="31"/>
  <c r="U631" i="31" a="1"/>
  <c r="U631" i="31"/>
  <c r="W631" i="31" a="1"/>
  <c r="W631" i="31"/>
  <c r="V631" i="31" a="1"/>
  <c r="V631" i="31"/>
  <c r="U630" i="31" a="1"/>
  <c r="U630" i="31"/>
  <c r="W630" i="31" a="1"/>
  <c r="W630" i="31"/>
  <c r="V630" i="31" a="1"/>
  <c r="V630" i="31"/>
  <c r="U629" i="31" a="1"/>
  <c r="U629" i="31"/>
  <c r="W629" i="31" a="1"/>
  <c r="W629" i="31"/>
  <c r="V629" i="31" a="1"/>
  <c r="V629" i="31"/>
  <c r="U628" i="31" a="1"/>
  <c r="U628" i="31"/>
  <c r="W628" i="31" a="1"/>
  <c r="W628" i="31"/>
  <c r="V628" i="31" a="1"/>
  <c r="V628" i="31"/>
  <c r="U627" i="31" a="1"/>
  <c r="U627" i="31"/>
  <c r="W627" i="31" a="1"/>
  <c r="W627" i="31"/>
  <c r="V627" i="31" a="1"/>
  <c r="V627" i="31"/>
  <c r="U626" i="31" a="1"/>
  <c r="U626" i="31"/>
  <c r="W626" i="31" a="1"/>
  <c r="W626" i="31"/>
  <c r="V626" i="31" a="1"/>
  <c r="V626" i="31"/>
  <c r="U625" i="31" a="1"/>
  <c r="U625" i="31"/>
  <c r="W625" i="31" a="1"/>
  <c r="W625" i="31"/>
  <c r="V625" i="31" a="1"/>
  <c r="V625" i="31"/>
  <c r="U624" i="31" a="1"/>
  <c r="U624" i="31"/>
  <c r="W624" i="31" a="1"/>
  <c r="W624" i="31"/>
  <c r="V624" i="31" a="1"/>
  <c r="V624" i="31"/>
  <c r="U623" i="31" a="1"/>
  <c r="U623" i="31"/>
  <c r="W623" i="31" a="1"/>
  <c r="W623" i="31"/>
  <c r="V623" i="31" a="1"/>
  <c r="V623" i="31"/>
  <c r="U622" i="31" a="1"/>
  <c r="U622" i="31"/>
  <c r="W622" i="31" a="1"/>
  <c r="W622" i="31"/>
  <c r="V622" i="31" a="1"/>
  <c r="V622" i="31"/>
  <c r="U621" i="31" a="1"/>
  <c r="U621" i="31"/>
  <c r="W621" i="31" a="1"/>
  <c r="W621" i="31"/>
  <c r="V621" i="31" a="1"/>
  <c r="V621" i="31"/>
  <c r="U620" i="31" a="1"/>
  <c r="U620" i="31"/>
  <c r="W620" i="31" a="1"/>
  <c r="W620" i="31"/>
  <c r="V620" i="31" a="1"/>
  <c r="V620" i="31"/>
  <c r="U619" i="31" a="1"/>
  <c r="U619" i="31"/>
  <c r="W619" i="31" a="1"/>
  <c r="W619" i="31"/>
  <c r="V619" i="31" a="1"/>
  <c r="V619" i="31"/>
  <c r="U618" i="31" a="1"/>
  <c r="U618" i="31"/>
  <c r="W618" i="31" a="1"/>
  <c r="W618" i="31"/>
  <c r="V618" i="31" a="1"/>
  <c r="V618" i="31"/>
  <c r="U617" i="31" a="1"/>
  <c r="U617" i="31"/>
  <c r="W617" i="31" a="1"/>
  <c r="W617" i="31"/>
  <c r="V617" i="31" a="1"/>
  <c r="V617" i="31"/>
  <c r="U616" i="31" a="1"/>
  <c r="U616" i="31"/>
  <c r="W616" i="31" a="1"/>
  <c r="W616" i="31"/>
  <c r="V616" i="31" a="1"/>
  <c r="V616" i="31"/>
  <c r="U615" i="31" a="1"/>
  <c r="U615" i="31"/>
  <c r="W615" i="31" a="1"/>
  <c r="W615" i="31"/>
  <c r="V615" i="31" a="1"/>
  <c r="V615" i="31"/>
  <c r="U614" i="31" a="1"/>
  <c r="U614" i="31"/>
  <c r="W614" i="31" a="1"/>
  <c r="W614" i="31"/>
  <c r="V614" i="31" a="1"/>
  <c r="V614" i="31"/>
  <c r="U613" i="31" a="1"/>
  <c r="U613" i="31"/>
  <c r="W613" i="31" a="1"/>
  <c r="W613" i="31"/>
  <c r="V613" i="31" a="1"/>
  <c r="V613" i="31"/>
  <c r="U612" i="31" a="1"/>
  <c r="U612" i="31"/>
  <c r="W612" i="31" a="1"/>
  <c r="W612" i="31"/>
  <c r="V612" i="31" a="1"/>
  <c r="V612" i="31"/>
  <c r="U611" i="31" a="1"/>
  <c r="U611" i="31"/>
  <c r="W611" i="31" a="1"/>
  <c r="W611" i="31"/>
  <c r="V611" i="31" a="1"/>
  <c r="V611" i="31"/>
  <c r="U610" i="31" a="1"/>
  <c r="U610" i="31"/>
  <c r="W610" i="31" a="1"/>
  <c r="W610" i="31"/>
  <c r="V610" i="31" a="1"/>
  <c r="V610" i="31"/>
  <c r="U609" i="31" a="1"/>
  <c r="U609" i="31"/>
  <c r="W609" i="31" a="1"/>
  <c r="W609" i="31"/>
  <c r="V609" i="31" a="1"/>
  <c r="V609" i="31"/>
  <c r="U608" i="31" a="1"/>
  <c r="U608" i="31"/>
  <c r="W608" i="31" a="1"/>
  <c r="W608" i="31"/>
  <c r="V608" i="31" a="1"/>
  <c r="V608" i="31"/>
  <c r="U607" i="31" a="1"/>
  <c r="U607" i="31"/>
  <c r="W607" i="31" a="1"/>
  <c r="W607" i="31"/>
  <c r="V607" i="31" a="1"/>
  <c r="V607" i="31"/>
  <c r="U606" i="31" a="1"/>
  <c r="U606" i="31"/>
  <c r="W606" i="31" a="1"/>
  <c r="W606" i="31"/>
  <c r="V606" i="31" a="1"/>
  <c r="V606" i="31"/>
  <c r="U605" i="31" a="1"/>
  <c r="U605" i="31"/>
  <c r="W605" i="31" a="1"/>
  <c r="W605" i="31"/>
  <c r="V605" i="31" a="1"/>
  <c r="V605" i="31"/>
  <c r="U604" i="31" a="1"/>
  <c r="U604" i="31"/>
  <c r="W604" i="31" a="1"/>
  <c r="W604" i="31"/>
  <c r="V604" i="31" a="1"/>
  <c r="V604" i="31"/>
  <c r="U603" i="31" a="1"/>
  <c r="U603" i="31"/>
  <c r="W603" i="31" a="1"/>
  <c r="W603" i="31"/>
  <c r="V603" i="31" a="1"/>
  <c r="V603" i="31"/>
  <c r="U602" i="31" a="1"/>
  <c r="U602" i="31"/>
  <c r="W602" i="31" a="1"/>
  <c r="W602" i="31"/>
  <c r="V602" i="31" a="1"/>
  <c r="V602" i="31"/>
  <c r="U601" i="31" a="1"/>
  <c r="U601" i="31"/>
  <c r="W601" i="31" a="1"/>
  <c r="W601" i="31"/>
  <c r="V601" i="31" a="1"/>
  <c r="V601" i="31"/>
  <c r="U600" i="31" a="1"/>
  <c r="U600" i="31"/>
  <c r="W600" i="31" a="1"/>
  <c r="W600" i="31"/>
  <c r="V600" i="31" a="1"/>
  <c r="V600" i="31"/>
  <c r="U599" i="31" a="1"/>
  <c r="U599" i="31"/>
  <c r="W599" i="31" a="1"/>
  <c r="W599" i="31"/>
  <c r="V599" i="31" a="1"/>
  <c r="V599" i="31"/>
  <c r="U598" i="31" a="1"/>
  <c r="U598" i="31"/>
  <c r="W598" i="31" a="1"/>
  <c r="W598" i="31"/>
  <c r="V598" i="31" a="1"/>
  <c r="V598" i="31"/>
  <c r="U597" i="31" a="1"/>
  <c r="U597" i="31"/>
  <c r="W597" i="31" a="1"/>
  <c r="W597" i="31"/>
  <c r="V597" i="31" a="1"/>
  <c r="V597" i="31"/>
  <c r="U596" i="31" a="1"/>
  <c r="U596" i="31"/>
  <c r="W596" i="31" a="1"/>
  <c r="W596" i="31"/>
  <c r="V596" i="31" a="1"/>
  <c r="V596" i="31"/>
  <c r="U595" i="31" a="1"/>
  <c r="U595" i="31"/>
  <c r="W595" i="31" a="1"/>
  <c r="W595" i="31"/>
  <c r="V595" i="31" a="1"/>
  <c r="V595" i="31"/>
  <c r="U594" i="31" a="1"/>
  <c r="U594" i="31"/>
  <c r="W594" i="31" a="1"/>
  <c r="W594" i="31"/>
  <c r="V594" i="31" a="1"/>
  <c r="V594" i="31"/>
  <c r="U593" i="31" a="1"/>
  <c r="U593" i="31"/>
  <c r="W593" i="31" a="1"/>
  <c r="W593" i="31"/>
  <c r="V593" i="31" a="1"/>
  <c r="V593" i="31"/>
  <c r="U592" i="31" a="1"/>
  <c r="U592" i="31"/>
  <c r="W592" i="31" a="1"/>
  <c r="W592" i="31"/>
  <c r="V592" i="31" a="1"/>
  <c r="V592" i="31"/>
  <c r="U591" i="31" a="1"/>
  <c r="U591" i="31"/>
  <c r="W591" i="31" a="1"/>
  <c r="W591" i="31"/>
  <c r="V591" i="31" a="1"/>
  <c r="V591" i="31"/>
  <c r="U590" i="31" a="1"/>
  <c r="U590" i="31"/>
  <c r="W590" i="31" a="1"/>
  <c r="W590" i="31"/>
  <c r="V590" i="31" a="1"/>
  <c r="V590" i="31"/>
  <c r="U589" i="31" a="1"/>
  <c r="U589" i="31"/>
  <c r="W589" i="31" a="1"/>
  <c r="W589" i="31"/>
  <c r="V589" i="31" a="1"/>
  <c r="V589" i="31"/>
  <c r="U588" i="31" a="1"/>
  <c r="U588" i="31"/>
  <c r="W588" i="31" a="1"/>
  <c r="W588" i="31"/>
  <c r="V588" i="31" a="1"/>
  <c r="V588" i="31"/>
  <c r="U587" i="31" a="1"/>
  <c r="U587" i="31"/>
  <c r="W587" i="31" a="1"/>
  <c r="W587" i="31"/>
  <c r="V587" i="31" a="1"/>
  <c r="V587" i="31"/>
  <c r="U586" i="31" a="1"/>
  <c r="U586" i="31"/>
  <c r="W586" i="31" a="1"/>
  <c r="W586" i="31"/>
  <c r="V586" i="31" a="1"/>
  <c r="V586" i="31"/>
  <c r="U585" i="31" a="1"/>
  <c r="U585" i="31"/>
  <c r="W585" i="31" a="1"/>
  <c r="W585" i="31"/>
  <c r="V585" i="31" a="1"/>
  <c r="V585" i="31"/>
  <c r="U584" i="31" a="1"/>
  <c r="U584" i="31"/>
  <c r="W584" i="31" a="1"/>
  <c r="W584" i="31"/>
  <c r="V584" i="31" a="1"/>
  <c r="V584" i="31"/>
  <c r="U583" i="31" a="1"/>
  <c r="U583" i="31"/>
  <c r="W583" i="31" a="1"/>
  <c r="W583" i="31"/>
  <c r="V583" i="31" a="1"/>
  <c r="V583" i="31"/>
  <c r="U582" i="31" a="1"/>
  <c r="U582" i="31"/>
  <c r="W582" i="31" a="1"/>
  <c r="W582" i="31"/>
  <c r="V582" i="31" a="1"/>
  <c r="V582" i="31"/>
  <c r="U581" i="31" a="1"/>
  <c r="U581" i="31"/>
  <c r="W581" i="31" a="1"/>
  <c r="W581" i="31"/>
  <c r="V581" i="31" a="1"/>
  <c r="V581" i="31"/>
  <c r="U580" i="31" a="1"/>
  <c r="U580" i="31"/>
  <c r="W580" i="31" a="1"/>
  <c r="W580" i="31"/>
  <c r="V580" i="31" a="1"/>
  <c r="V580" i="31"/>
  <c r="U579" i="31" a="1"/>
  <c r="U579" i="31"/>
  <c r="W579" i="31" a="1"/>
  <c r="W579" i="31"/>
  <c r="V579" i="31" a="1"/>
  <c r="V579" i="31"/>
  <c r="U578" i="31" a="1"/>
  <c r="U578" i="31"/>
  <c r="W578" i="31" a="1"/>
  <c r="W578" i="31"/>
  <c r="V578" i="31" a="1"/>
  <c r="V578" i="31"/>
  <c r="U577" i="31" a="1"/>
  <c r="U577" i="31"/>
  <c r="W577" i="31" a="1"/>
  <c r="W577" i="31"/>
  <c r="V577" i="31" a="1"/>
  <c r="V577" i="31"/>
  <c r="U576" i="31" a="1"/>
  <c r="U576" i="31"/>
  <c r="W576" i="31" a="1"/>
  <c r="W576" i="31"/>
  <c r="V576" i="31" a="1"/>
  <c r="V576" i="31"/>
  <c r="U575" i="31" a="1"/>
  <c r="U575" i="31"/>
  <c r="W575" i="31" a="1"/>
  <c r="W575" i="31"/>
  <c r="V575" i="31" a="1"/>
  <c r="V575" i="31"/>
  <c r="U574" i="31" a="1"/>
  <c r="U574" i="31"/>
  <c r="W574" i="31" a="1"/>
  <c r="W574" i="31"/>
  <c r="V574" i="31" a="1"/>
  <c r="V574" i="31"/>
  <c r="U573" i="31" a="1"/>
  <c r="U573" i="31"/>
  <c r="W573" i="31" a="1"/>
  <c r="W573" i="31"/>
  <c r="V573" i="31" a="1"/>
  <c r="V573" i="31"/>
  <c r="U572" i="31" a="1"/>
  <c r="U572" i="31"/>
  <c r="W572" i="31" a="1"/>
  <c r="W572" i="31"/>
  <c r="V572" i="31" a="1"/>
  <c r="V572" i="31"/>
  <c r="U571" i="31" a="1"/>
  <c r="U571" i="31"/>
  <c r="W571" i="31" a="1"/>
  <c r="W571" i="31"/>
  <c r="V571" i="31" a="1"/>
  <c r="V571" i="31"/>
  <c r="U570" i="31" a="1"/>
  <c r="U570" i="31"/>
  <c r="W570" i="31" a="1"/>
  <c r="W570" i="31"/>
  <c r="V570" i="31" a="1"/>
  <c r="V570" i="31"/>
  <c r="U569" i="31" a="1"/>
  <c r="U569" i="31"/>
  <c r="W569" i="31" a="1"/>
  <c r="W569" i="31"/>
  <c r="V569" i="31" a="1"/>
  <c r="V569" i="31"/>
  <c r="U568" i="31" a="1"/>
  <c r="U568" i="31"/>
  <c r="W568" i="31" a="1"/>
  <c r="W568" i="31"/>
  <c r="V568" i="31" a="1"/>
  <c r="V568" i="31"/>
  <c r="U567" i="31" a="1"/>
  <c r="U567" i="31"/>
  <c r="W567" i="31" a="1"/>
  <c r="W567" i="31"/>
  <c r="V567" i="31" a="1"/>
  <c r="V567" i="31"/>
  <c r="U566" i="31" a="1"/>
  <c r="U566" i="31"/>
  <c r="W566" i="31" a="1"/>
  <c r="W566" i="31"/>
  <c r="V566" i="31" a="1"/>
  <c r="V566" i="31"/>
  <c r="U565" i="31" a="1"/>
  <c r="U565" i="31"/>
  <c r="W565" i="31" a="1"/>
  <c r="W565" i="31"/>
  <c r="V565" i="31" a="1"/>
  <c r="V565" i="31"/>
  <c r="U564" i="31" a="1"/>
  <c r="U564" i="31"/>
  <c r="W564" i="31" a="1"/>
  <c r="W564" i="31"/>
  <c r="V564" i="31" a="1"/>
  <c r="V564" i="31"/>
  <c r="U563" i="31" a="1"/>
  <c r="U563" i="31"/>
  <c r="W563" i="31" a="1"/>
  <c r="W563" i="31"/>
  <c r="V563" i="31" a="1"/>
  <c r="V563" i="31"/>
  <c r="U562" i="31" a="1"/>
  <c r="U562" i="31"/>
  <c r="W562" i="31" a="1"/>
  <c r="W562" i="31"/>
  <c r="V562" i="31" a="1"/>
  <c r="V562" i="31"/>
  <c r="U561" i="31" a="1"/>
  <c r="U561" i="31"/>
  <c r="W561" i="31" a="1"/>
  <c r="W561" i="31"/>
  <c r="V561" i="31" a="1"/>
  <c r="V561" i="31"/>
  <c r="U560" i="31" a="1"/>
  <c r="U560" i="31"/>
  <c r="W560" i="31" a="1"/>
  <c r="W560" i="31"/>
  <c r="V560" i="31" a="1"/>
  <c r="V560" i="31"/>
  <c r="U559" i="31" a="1"/>
  <c r="U559" i="31"/>
  <c r="W559" i="31" a="1"/>
  <c r="W559" i="31"/>
  <c r="V559" i="31" a="1"/>
  <c r="V559" i="31"/>
  <c r="U558" i="31" a="1"/>
  <c r="U558" i="31"/>
  <c r="W558" i="31" a="1"/>
  <c r="W558" i="31"/>
  <c r="V558" i="31" a="1"/>
  <c r="V558" i="31"/>
  <c r="U557" i="31" a="1"/>
  <c r="U557" i="31"/>
  <c r="W557" i="31" a="1"/>
  <c r="W557" i="31"/>
  <c r="V557" i="31" a="1"/>
  <c r="V557" i="31"/>
  <c r="U556" i="31" a="1"/>
  <c r="U556" i="31"/>
  <c r="W556" i="31" a="1"/>
  <c r="W556" i="31"/>
  <c r="V556" i="31" a="1"/>
  <c r="V556" i="31"/>
  <c r="U555" i="31" a="1"/>
  <c r="U555" i="31"/>
  <c r="W555" i="31" a="1"/>
  <c r="W555" i="31"/>
  <c r="V555" i="31" a="1"/>
  <c r="V555" i="31"/>
  <c r="U554" i="31" a="1"/>
  <c r="U554" i="31"/>
  <c r="W554" i="31" a="1"/>
  <c r="W554" i="31"/>
  <c r="V554" i="31" a="1"/>
  <c r="V554" i="31"/>
  <c r="U553" i="31" a="1"/>
  <c r="U553" i="31"/>
  <c r="W553" i="31" a="1"/>
  <c r="W553" i="31"/>
  <c r="V553" i="31" a="1"/>
  <c r="V553" i="31"/>
  <c r="U552" i="31" a="1"/>
  <c r="U552" i="31"/>
  <c r="W552" i="31" a="1"/>
  <c r="W552" i="31"/>
  <c r="V552" i="31" a="1"/>
  <c r="V552" i="31"/>
  <c r="U551" i="31" a="1"/>
  <c r="U551" i="31"/>
  <c r="W551" i="31" a="1"/>
  <c r="W551" i="31"/>
  <c r="V551" i="31" a="1"/>
  <c r="V551" i="31"/>
  <c r="U550" i="31" a="1"/>
  <c r="U550" i="31"/>
  <c r="W550" i="31" a="1"/>
  <c r="W550" i="31"/>
  <c r="V550" i="31" a="1"/>
  <c r="V550" i="31"/>
  <c r="U549" i="31" a="1"/>
  <c r="U549" i="31"/>
  <c r="W549" i="31" a="1"/>
  <c r="W549" i="31"/>
  <c r="V549" i="31" a="1"/>
  <c r="V549" i="31"/>
  <c r="U548" i="31" a="1"/>
  <c r="U548" i="31"/>
  <c r="W548" i="31" a="1"/>
  <c r="W548" i="31"/>
  <c r="V548" i="31" a="1"/>
  <c r="V548" i="31"/>
  <c r="U547" i="31" a="1"/>
  <c r="U547" i="31"/>
  <c r="W547" i="31" a="1"/>
  <c r="W547" i="31"/>
  <c r="V547" i="31" a="1"/>
  <c r="V547" i="31"/>
  <c r="U546" i="31" a="1"/>
  <c r="U546" i="31"/>
  <c r="W546" i="31" a="1"/>
  <c r="W546" i="31"/>
  <c r="V546" i="31" a="1"/>
  <c r="V546" i="31"/>
  <c r="U545" i="31" a="1"/>
  <c r="U545" i="31"/>
  <c r="W545" i="31" a="1"/>
  <c r="W545" i="31"/>
  <c r="V545" i="31" a="1"/>
  <c r="V545" i="31"/>
  <c r="U544" i="31" a="1"/>
  <c r="U544" i="31"/>
  <c r="W544" i="31" a="1"/>
  <c r="W544" i="31"/>
  <c r="V544" i="31" a="1"/>
  <c r="V544" i="31"/>
  <c r="U543" i="31" a="1"/>
  <c r="U543" i="31"/>
  <c r="W543" i="31" a="1"/>
  <c r="W543" i="31"/>
  <c r="V543" i="31" a="1"/>
  <c r="V543" i="31"/>
  <c r="U542" i="31" a="1"/>
  <c r="U542" i="31"/>
  <c r="W542" i="31" a="1"/>
  <c r="W542" i="31"/>
  <c r="V542" i="31" a="1"/>
  <c r="V542" i="31"/>
  <c r="U541" i="31" a="1"/>
  <c r="U541" i="31"/>
  <c r="W541" i="31" a="1"/>
  <c r="W541" i="31"/>
  <c r="V541" i="31" a="1"/>
  <c r="V541" i="31"/>
  <c r="U540" i="31" a="1"/>
  <c r="U540" i="31"/>
  <c r="W540" i="31" a="1"/>
  <c r="W540" i="31"/>
  <c r="V540" i="31" a="1"/>
  <c r="V540" i="31"/>
  <c r="U539" i="31" a="1"/>
  <c r="U539" i="31"/>
  <c r="W539" i="31" a="1"/>
  <c r="W539" i="31"/>
  <c r="V539" i="31" a="1"/>
  <c r="V539" i="31"/>
  <c r="U538" i="31" a="1"/>
  <c r="U538" i="31"/>
  <c r="W538" i="31" a="1"/>
  <c r="W538" i="31"/>
  <c r="V538" i="31" a="1"/>
  <c r="V538" i="31"/>
  <c r="U537" i="31" a="1"/>
  <c r="U537" i="31"/>
  <c r="W537" i="31" a="1"/>
  <c r="W537" i="31"/>
  <c r="V537" i="31" a="1"/>
  <c r="V537" i="31"/>
  <c r="U536" i="31" a="1"/>
  <c r="U536" i="31"/>
  <c r="W536" i="31" a="1"/>
  <c r="W536" i="31"/>
  <c r="V536" i="31" a="1"/>
  <c r="V536" i="31"/>
  <c r="U535" i="31" a="1"/>
  <c r="U535" i="31"/>
  <c r="W535" i="31" a="1"/>
  <c r="W535" i="31"/>
  <c r="V535" i="31" a="1"/>
  <c r="V535" i="31"/>
  <c r="U534" i="31" a="1"/>
  <c r="U534" i="31"/>
  <c r="W534" i="31" a="1"/>
  <c r="W534" i="31"/>
  <c r="V534" i="31" a="1"/>
  <c r="V534" i="31"/>
  <c r="U533" i="31" a="1"/>
  <c r="U533" i="31"/>
  <c r="W533" i="31" a="1"/>
  <c r="W533" i="31"/>
  <c r="V533" i="31" a="1"/>
  <c r="V533" i="31"/>
  <c r="U532" i="31" a="1"/>
  <c r="U532" i="31"/>
  <c r="W532" i="31" a="1"/>
  <c r="W532" i="31"/>
  <c r="V532" i="31" a="1"/>
  <c r="V532" i="31"/>
  <c r="U531" i="31" a="1"/>
  <c r="U531" i="31"/>
  <c r="W531" i="31" a="1"/>
  <c r="W531" i="31"/>
  <c r="V531" i="31" a="1"/>
  <c r="V531" i="31"/>
  <c r="U530" i="31" a="1"/>
  <c r="U530" i="31"/>
  <c r="W530" i="31" a="1"/>
  <c r="W530" i="31"/>
  <c r="V530" i="31" a="1"/>
  <c r="V530" i="31"/>
  <c r="U529" i="31" a="1"/>
  <c r="U529" i="31"/>
  <c r="W529" i="31" a="1"/>
  <c r="W529" i="31"/>
  <c r="V529" i="31" a="1"/>
  <c r="V529" i="31"/>
  <c r="U528" i="31" a="1"/>
  <c r="U528" i="31"/>
  <c r="W528" i="31" a="1"/>
  <c r="W528" i="31"/>
  <c r="V528" i="31" a="1"/>
  <c r="V528" i="31"/>
  <c r="U527" i="31" a="1"/>
  <c r="U527" i="31"/>
  <c r="W527" i="31" a="1"/>
  <c r="W527" i="31"/>
  <c r="V527" i="31" a="1"/>
  <c r="V527" i="31"/>
  <c r="U526" i="31" a="1"/>
  <c r="U526" i="31"/>
  <c r="W526" i="31" a="1"/>
  <c r="W526" i="31"/>
  <c r="V526" i="31" a="1"/>
  <c r="V526" i="31"/>
  <c r="U525" i="31" a="1"/>
  <c r="U525" i="31"/>
  <c r="W525" i="31" a="1"/>
  <c r="W525" i="31"/>
  <c r="V525" i="31" a="1"/>
  <c r="V525" i="31"/>
  <c r="U524" i="31" a="1"/>
  <c r="U524" i="31"/>
  <c r="W524" i="31" a="1"/>
  <c r="W524" i="31"/>
  <c r="V524" i="31" a="1"/>
  <c r="V524" i="31"/>
  <c r="U523" i="31" a="1"/>
  <c r="U523" i="31"/>
  <c r="W523" i="31" a="1"/>
  <c r="W523" i="31"/>
  <c r="V523" i="31" a="1"/>
  <c r="V523" i="31"/>
  <c r="U522" i="31" a="1"/>
  <c r="U522" i="31"/>
  <c r="W522" i="31" a="1"/>
  <c r="W522" i="31"/>
  <c r="V522" i="31" a="1"/>
  <c r="V522" i="31"/>
  <c r="U521" i="31" a="1"/>
  <c r="U521" i="31"/>
  <c r="W521" i="31" a="1"/>
  <c r="W521" i="31"/>
  <c r="V521" i="31" a="1"/>
  <c r="V521" i="31"/>
  <c r="U520" i="31" a="1"/>
  <c r="U520" i="31"/>
  <c r="W520" i="31" a="1"/>
  <c r="W520" i="31"/>
  <c r="V520" i="31" a="1"/>
  <c r="V520" i="31"/>
  <c r="U519" i="31" a="1"/>
  <c r="U519" i="31"/>
  <c r="W519" i="31" a="1"/>
  <c r="W519" i="31"/>
  <c r="V519" i="31" a="1"/>
  <c r="V519" i="31"/>
  <c r="U518" i="31" a="1"/>
  <c r="U518" i="31"/>
  <c r="W518" i="31" a="1"/>
  <c r="W518" i="31"/>
  <c r="V518" i="31" a="1"/>
  <c r="V518" i="31"/>
  <c r="U517" i="31" a="1"/>
  <c r="U517" i="31"/>
  <c r="W517" i="31" a="1"/>
  <c r="W517" i="31"/>
  <c r="V517" i="31" a="1"/>
  <c r="V517" i="31"/>
  <c r="U516" i="31" a="1"/>
  <c r="U516" i="31"/>
  <c r="W516" i="31" a="1"/>
  <c r="W516" i="31"/>
  <c r="V516" i="31" a="1"/>
  <c r="V516" i="31"/>
  <c r="U515" i="31" a="1"/>
  <c r="U515" i="31"/>
  <c r="W515" i="31" a="1"/>
  <c r="W515" i="31"/>
  <c r="V515" i="31" a="1"/>
  <c r="V515" i="31"/>
  <c r="U514" i="31" a="1"/>
  <c r="U514" i="31"/>
  <c r="W514" i="31" a="1"/>
  <c r="W514" i="31"/>
  <c r="V514" i="31" a="1"/>
  <c r="V514" i="31"/>
  <c r="U513" i="31" a="1"/>
  <c r="U513" i="31"/>
  <c r="W513" i="31" a="1"/>
  <c r="W513" i="31"/>
  <c r="V513" i="31" a="1"/>
  <c r="V513" i="31"/>
  <c r="U512" i="31" a="1"/>
  <c r="U512" i="31"/>
  <c r="W512" i="31" a="1"/>
  <c r="W512" i="31"/>
  <c r="V512" i="31" a="1"/>
  <c r="V512" i="31"/>
  <c r="U511" i="31" a="1"/>
  <c r="U511" i="31"/>
  <c r="W511" i="31" a="1"/>
  <c r="W511" i="31"/>
  <c r="V511" i="31" a="1"/>
  <c r="V511" i="31"/>
  <c r="U510" i="31" a="1"/>
  <c r="U510" i="31"/>
  <c r="W510" i="31" a="1"/>
  <c r="W510" i="31"/>
  <c r="V510" i="31" a="1"/>
  <c r="V510" i="31"/>
  <c r="U509" i="31" a="1"/>
  <c r="U509" i="31"/>
  <c r="W509" i="31" a="1"/>
  <c r="W509" i="31"/>
  <c r="V509" i="31" a="1"/>
  <c r="V509" i="31"/>
  <c r="U508" i="31" a="1"/>
  <c r="U508" i="31"/>
  <c r="W508" i="31" a="1"/>
  <c r="W508" i="31"/>
  <c r="V508" i="31" a="1"/>
  <c r="V508" i="31"/>
  <c r="U507" i="31" a="1"/>
  <c r="U507" i="31"/>
  <c r="W507" i="31" a="1"/>
  <c r="W507" i="31"/>
  <c r="V507" i="31" a="1"/>
  <c r="V507" i="31"/>
  <c r="U506" i="31" a="1"/>
  <c r="U506" i="31"/>
  <c r="W506" i="31" a="1"/>
  <c r="W506" i="31"/>
  <c r="V506" i="31" a="1"/>
  <c r="V506" i="31"/>
  <c r="U505" i="31" a="1"/>
  <c r="U505" i="31"/>
  <c r="W505" i="31" a="1"/>
  <c r="W505" i="31"/>
  <c r="V505" i="31" a="1"/>
  <c r="V505" i="31"/>
  <c r="U504" i="31" a="1"/>
  <c r="U504" i="31"/>
  <c r="W504" i="31" a="1"/>
  <c r="W504" i="31"/>
  <c r="V504" i="31" a="1"/>
  <c r="V504" i="31"/>
  <c r="U503" i="31" a="1"/>
  <c r="U503" i="31"/>
  <c r="W503" i="31" a="1"/>
  <c r="W503" i="31"/>
  <c r="V503" i="31" a="1"/>
  <c r="V503" i="31"/>
  <c r="U502" i="31" a="1"/>
  <c r="U502" i="31"/>
  <c r="W502" i="31" a="1"/>
  <c r="W502" i="31"/>
  <c r="V502" i="31" a="1"/>
  <c r="V502" i="31"/>
  <c r="U501" i="31" a="1"/>
  <c r="U501" i="31"/>
  <c r="W501" i="31" a="1"/>
  <c r="W501" i="31"/>
  <c r="V501" i="31" a="1"/>
  <c r="V501" i="31"/>
  <c r="U500" i="31" a="1"/>
  <c r="U500" i="31"/>
  <c r="W500" i="31" a="1"/>
  <c r="W500" i="31"/>
  <c r="V500" i="31" a="1"/>
  <c r="V500" i="31"/>
  <c r="U499" i="31" a="1"/>
  <c r="U499" i="31"/>
  <c r="W499" i="31" a="1"/>
  <c r="W499" i="31"/>
  <c r="V499" i="31" a="1"/>
  <c r="V499" i="31"/>
  <c r="U498" i="31" a="1"/>
  <c r="U498" i="31"/>
  <c r="W498" i="31" a="1"/>
  <c r="W498" i="31"/>
  <c r="V498" i="31" a="1"/>
  <c r="V498" i="31"/>
  <c r="U497" i="31" a="1"/>
  <c r="U497" i="31"/>
  <c r="W497" i="31" a="1"/>
  <c r="W497" i="31"/>
  <c r="V497" i="31" a="1"/>
  <c r="V497" i="31"/>
  <c r="U496" i="31" a="1"/>
  <c r="U496" i="31"/>
  <c r="W496" i="31" a="1"/>
  <c r="W496" i="31"/>
  <c r="V496" i="31" a="1"/>
  <c r="V496" i="31"/>
  <c r="U495" i="31" a="1"/>
  <c r="U495" i="31"/>
  <c r="W495" i="31" a="1"/>
  <c r="W495" i="31"/>
  <c r="V495" i="31" a="1"/>
  <c r="V495" i="31"/>
  <c r="U494" i="31" a="1"/>
  <c r="U494" i="31"/>
  <c r="W494" i="31" a="1"/>
  <c r="W494" i="31"/>
  <c r="V494" i="31" a="1"/>
  <c r="V494" i="31"/>
  <c r="U493" i="31" a="1"/>
  <c r="U493" i="31"/>
  <c r="W493" i="31" a="1"/>
  <c r="W493" i="31"/>
  <c r="V493" i="31" a="1"/>
  <c r="V493" i="31"/>
  <c r="U492" i="31" a="1"/>
  <c r="U492" i="31"/>
  <c r="W492" i="31" a="1"/>
  <c r="W492" i="31"/>
  <c r="V492" i="31" a="1"/>
  <c r="V492" i="31"/>
  <c r="U491" i="31" a="1"/>
  <c r="U491" i="31"/>
  <c r="W491" i="31" a="1"/>
  <c r="W491" i="31"/>
  <c r="V491" i="31" a="1"/>
  <c r="V491" i="31"/>
  <c r="U490" i="31" a="1"/>
  <c r="U490" i="31"/>
  <c r="W490" i="31" a="1"/>
  <c r="W490" i="31"/>
  <c r="V490" i="31" a="1"/>
  <c r="V490" i="31"/>
  <c r="U489" i="31" a="1"/>
  <c r="U489" i="31"/>
  <c r="W489" i="31" a="1"/>
  <c r="W489" i="31"/>
  <c r="V489" i="31" a="1"/>
  <c r="V489" i="31"/>
  <c r="U488" i="31" a="1"/>
  <c r="U488" i="31"/>
  <c r="W488" i="31" a="1"/>
  <c r="W488" i="31"/>
  <c r="V488" i="31" a="1"/>
  <c r="V488" i="31"/>
  <c r="U487" i="31" a="1"/>
  <c r="U487" i="31"/>
  <c r="W487" i="31" a="1"/>
  <c r="W487" i="31"/>
  <c r="V487" i="31" a="1"/>
  <c r="V487" i="31"/>
  <c r="U486" i="31" a="1"/>
  <c r="U486" i="31"/>
  <c r="W486" i="31" a="1"/>
  <c r="W486" i="31"/>
  <c r="V486" i="31" a="1"/>
  <c r="V486" i="31"/>
  <c r="U485" i="31" a="1"/>
  <c r="U485" i="31"/>
  <c r="W485" i="31" a="1"/>
  <c r="W485" i="31"/>
  <c r="V485" i="31" a="1"/>
  <c r="V485" i="31"/>
  <c r="U484" i="31" a="1"/>
  <c r="U484" i="31"/>
  <c r="W484" i="31" a="1"/>
  <c r="W484" i="31"/>
  <c r="V484" i="31" a="1"/>
  <c r="V484" i="31"/>
  <c r="U483" i="31" a="1"/>
  <c r="U483" i="31"/>
  <c r="W483" i="31" a="1"/>
  <c r="W483" i="31"/>
  <c r="V483" i="31" a="1"/>
  <c r="V483" i="31"/>
  <c r="U482" i="31" a="1"/>
  <c r="U482" i="31"/>
  <c r="W482" i="31" a="1"/>
  <c r="W482" i="31"/>
  <c r="V482" i="31" a="1"/>
  <c r="V482" i="31"/>
  <c r="U481" i="31" a="1"/>
  <c r="U481" i="31"/>
  <c r="W481" i="31" a="1"/>
  <c r="W481" i="31"/>
  <c r="V481" i="31" a="1"/>
  <c r="V481" i="31"/>
  <c r="U480" i="31" a="1"/>
  <c r="U480" i="31"/>
  <c r="W480" i="31" a="1"/>
  <c r="W480" i="31"/>
  <c r="V480" i="31" a="1"/>
  <c r="V480" i="31"/>
  <c r="U479" i="31" a="1"/>
  <c r="U479" i="31"/>
  <c r="W479" i="31" a="1"/>
  <c r="W479" i="31"/>
  <c r="V479" i="31" a="1"/>
  <c r="V479" i="31"/>
  <c r="U478" i="31" a="1"/>
  <c r="U478" i="31"/>
  <c r="W478" i="31" a="1"/>
  <c r="W478" i="31"/>
  <c r="V478" i="31" a="1"/>
  <c r="V478" i="31"/>
  <c r="U477" i="31" a="1"/>
  <c r="U477" i="31"/>
  <c r="W477" i="31" a="1"/>
  <c r="W477" i="31"/>
  <c r="V477" i="31" a="1"/>
  <c r="V477" i="31"/>
  <c r="U476" i="31" a="1"/>
  <c r="U476" i="31"/>
  <c r="W476" i="31" a="1"/>
  <c r="W476" i="31"/>
  <c r="V476" i="31" a="1"/>
  <c r="V476" i="31"/>
  <c r="U475" i="31" a="1"/>
  <c r="U475" i="31"/>
  <c r="W475" i="31" a="1"/>
  <c r="W475" i="31"/>
  <c r="V475" i="31" a="1"/>
  <c r="V475" i="31"/>
  <c r="U474" i="31" a="1"/>
  <c r="U474" i="31"/>
  <c r="W474" i="31" a="1"/>
  <c r="W474" i="31"/>
  <c r="V474" i="31" a="1"/>
  <c r="V474" i="31"/>
  <c r="U473" i="31" a="1"/>
  <c r="U473" i="31"/>
  <c r="W473" i="31" a="1"/>
  <c r="W473" i="31"/>
  <c r="V473" i="31" a="1"/>
  <c r="V473" i="31"/>
  <c r="U472" i="31" a="1"/>
  <c r="U472" i="31"/>
  <c r="W472" i="31" a="1"/>
  <c r="W472" i="31"/>
  <c r="V472" i="31" a="1"/>
  <c r="V472" i="31"/>
  <c r="U471" i="31" a="1"/>
  <c r="U471" i="31"/>
  <c r="W471" i="31" a="1"/>
  <c r="W471" i="31"/>
  <c r="V471" i="31" a="1"/>
  <c r="V471" i="31"/>
  <c r="U470" i="31" a="1"/>
  <c r="U470" i="31"/>
  <c r="W470" i="31" a="1"/>
  <c r="W470" i="31"/>
  <c r="V470" i="31" a="1"/>
  <c r="V470" i="31"/>
  <c r="U469" i="31" a="1"/>
  <c r="U469" i="31"/>
  <c r="W469" i="31" a="1"/>
  <c r="W469" i="31"/>
  <c r="V469" i="31" a="1"/>
  <c r="V469" i="31"/>
  <c r="U468" i="31" a="1"/>
  <c r="U468" i="31"/>
  <c r="W468" i="31" a="1"/>
  <c r="W468" i="31"/>
  <c r="V468" i="31" a="1"/>
  <c r="V468" i="31"/>
  <c r="U467" i="31" a="1"/>
  <c r="U467" i="31"/>
  <c r="W467" i="31" a="1"/>
  <c r="W467" i="31"/>
  <c r="V467" i="31" a="1"/>
  <c r="V467" i="31"/>
  <c r="U466" i="31" a="1"/>
  <c r="U466" i="31"/>
  <c r="W466" i="31" a="1"/>
  <c r="W466" i="31"/>
  <c r="V466" i="31" a="1"/>
  <c r="V466" i="31"/>
  <c r="U465" i="31" a="1"/>
  <c r="U465" i="31"/>
  <c r="W465" i="31" a="1"/>
  <c r="W465" i="31"/>
  <c r="V465" i="31" a="1"/>
  <c r="V465" i="31"/>
  <c r="U464" i="31" a="1"/>
  <c r="U464" i="31"/>
  <c r="W464" i="31" a="1"/>
  <c r="W464" i="31"/>
  <c r="V464" i="31" a="1"/>
  <c r="V464" i="31"/>
  <c r="U463" i="31" a="1"/>
  <c r="U463" i="31"/>
  <c r="W463" i="31" a="1"/>
  <c r="W463" i="31"/>
  <c r="V463" i="31" a="1"/>
  <c r="V463" i="31"/>
  <c r="U462" i="31" a="1"/>
  <c r="U462" i="31"/>
  <c r="W462" i="31" a="1"/>
  <c r="W462" i="31"/>
  <c r="V462" i="31" a="1"/>
  <c r="V462" i="31"/>
  <c r="U461" i="31" a="1"/>
  <c r="U461" i="31"/>
  <c r="W461" i="31" a="1"/>
  <c r="W461" i="31"/>
  <c r="V461" i="31" a="1"/>
  <c r="V461" i="31"/>
  <c r="U460" i="31" a="1"/>
  <c r="U460" i="31"/>
  <c r="W460" i="31" a="1"/>
  <c r="W460" i="31"/>
  <c r="V460" i="31" a="1"/>
  <c r="V460" i="31"/>
  <c r="U459" i="31" a="1"/>
  <c r="U459" i="31"/>
  <c r="W459" i="31" a="1"/>
  <c r="W459" i="31"/>
  <c r="V459" i="31" a="1"/>
  <c r="V459" i="31"/>
  <c r="U458" i="31" a="1"/>
  <c r="U458" i="31"/>
  <c r="W458" i="31" a="1"/>
  <c r="W458" i="31"/>
  <c r="V458" i="31" a="1"/>
  <c r="V458" i="31"/>
  <c r="U457" i="31" a="1"/>
  <c r="U457" i="31"/>
  <c r="W457" i="31" a="1"/>
  <c r="W457" i="31"/>
  <c r="V457" i="31" a="1"/>
  <c r="V457" i="31"/>
  <c r="U456" i="31" a="1"/>
  <c r="U456" i="31"/>
  <c r="W456" i="31" a="1"/>
  <c r="W456" i="31"/>
  <c r="V456" i="31" a="1"/>
  <c r="V456" i="31"/>
  <c r="U455" i="31" a="1"/>
  <c r="U455" i="31"/>
  <c r="W455" i="31" a="1"/>
  <c r="W455" i="31"/>
  <c r="V455" i="31" a="1"/>
  <c r="V455" i="31"/>
  <c r="U454" i="31" a="1"/>
  <c r="U454" i="31"/>
  <c r="W454" i="31" a="1"/>
  <c r="W454" i="31"/>
  <c r="V454" i="31" a="1"/>
  <c r="V454" i="31"/>
  <c r="U453" i="31" a="1"/>
  <c r="U453" i="31"/>
  <c r="W453" i="31" a="1"/>
  <c r="W453" i="31"/>
  <c r="V453" i="31" a="1"/>
  <c r="V453" i="31"/>
  <c r="U452" i="31" a="1"/>
  <c r="U452" i="31"/>
  <c r="W452" i="31" a="1"/>
  <c r="W452" i="31"/>
  <c r="V452" i="31" a="1"/>
  <c r="V452" i="31"/>
  <c r="U451" i="31" a="1"/>
  <c r="U451" i="31"/>
  <c r="W451" i="31" a="1"/>
  <c r="W451" i="31"/>
  <c r="V451" i="31" a="1"/>
  <c r="V451" i="31"/>
  <c r="U450" i="31" a="1"/>
  <c r="U450" i="31"/>
  <c r="W450" i="31" a="1"/>
  <c r="W450" i="31"/>
  <c r="V450" i="31" a="1"/>
  <c r="V450" i="31"/>
  <c r="U449" i="31" a="1"/>
  <c r="U449" i="31"/>
  <c r="W449" i="31" a="1"/>
  <c r="W449" i="31"/>
  <c r="V449" i="31" a="1"/>
  <c r="V449" i="31"/>
  <c r="U448" i="31" a="1"/>
  <c r="U448" i="31"/>
  <c r="W448" i="31" a="1"/>
  <c r="W448" i="31"/>
  <c r="V448" i="31" a="1"/>
  <c r="V448" i="31"/>
  <c r="U447" i="31" a="1"/>
  <c r="U447" i="31"/>
  <c r="W447" i="31" a="1"/>
  <c r="W447" i="31"/>
  <c r="V447" i="31" a="1"/>
  <c r="V447" i="31"/>
  <c r="U446" i="31" a="1"/>
  <c r="U446" i="31"/>
  <c r="W446" i="31" a="1"/>
  <c r="W446" i="31"/>
  <c r="V446" i="31" a="1"/>
  <c r="V446" i="31"/>
  <c r="U445" i="31" a="1"/>
  <c r="U445" i="31"/>
  <c r="W445" i="31" a="1"/>
  <c r="W445" i="31"/>
  <c r="V445" i="31" a="1"/>
  <c r="V445" i="31"/>
  <c r="U444" i="31" a="1"/>
  <c r="U444" i="31"/>
  <c r="W444" i="31" a="1"/>
  <c r="W444" i="31"/>
  <c r="V444" i="31" a="1"/>
  <c r="V444" i="31"/>
  <c r="U443" i="31" a="1"/>
  <c r="U443" i="31"/>
  <c r="W443" i="31" a="1"/>
  <c r="W443" i="31"/>
  <c r="V443" i="31" a="1"/>
  <c r="V443" i="31"/>
  <c r="U442" i="31" a="1"/>
  <c r="U442" i="31"/>
  <c r="W442" i="31" a="1"/>
  <c r="W442" i="31"/>
  <c r="V442" i="31" a="1"/>
  <c r="V442" i="31"/>
  <c r="U441" i="31" a="1"/>
  <c r="U441" i="31"/>
  <c r="W441" i="31" a="1"/>
  <c r="W441" i="31"/>
  <c r="V441" i="31" a="1"/>
  <c r="V441" i="31"/>
  <c r="U440" i="31" a="1"/>
  <c r="U440" i="31"/>
  <c r="W440" i="31" a="1"/>
  <c r="W440" i="31"/>
  <c r="V440" i="31" a="1"/>
  <c r="V440" i="31"/>
  <c r="U439" i="31" a="1"/>
  <c r="U439" i="31"/>
  <c r="W439" i="31" a="1"/>
  <c r="W439" i="31"/>
  <c r="V439" i="31" a="1"/>
  <c r="V439" i="31"/>
  <c r="U438" i="31" a="1"/>
  <c r="U438" i="31"/>
  <c r="W438" i="31" a="1"/>
  <c r="W438" i="31"/>
  <c r="V438" i="31" a="1"/>
  <c r="V438" i="31"/>
  <c r="U437" i="31" a="1"/>
  <c r="U437" i="31"/>
  <c r="W437" i="31" a="1"/>
  <c r="W437" i="31"/>
  <c r="V437" i="31" a="1"/>
  <c r="V437" i="31"/>
  <c r="U436" i="31" a="1"/>
  <c r="U436" i="31"/>
  <c r="W436" i="31" a="1"/>
  <c r="W436" i="31"/>
  <c r="V436" i="31" a="1"/>
  <c r="V436" i="31"/>
  <c r="U435" i="31" a="1"/>
  <c r="U435" i="31"/>
  <c r="W435" i="31" a="1"/>
  <c r="W435" i="31"/>
  <c r="V435" i="31" a="1"/>
  <c r="V435" i="31"/>
  <c r="U434" i="31" a="1"/>
  <c r="U434" i="31"/>
  <c r="W434" i="31" a="1"/>
  <c r="W434" i="31"/>
  <c r="V434" i="31" a="1"/>
  <c r="V434" i="31"/>
  <c r="U433" i="31" a="1"/>
  <c r="U433" i="31"/>
  <c r="W433" i="31" a="1"/>
  <c r="W433" i="31"/>
  <c r="V433" i="31" a="1"/>
  <c r="V433" i="31"/>
  <c r="U432" i="31" a="1"/>
  <c r="U432" i="31"/>
  <c r="W432" i="31" a="1"/>
  <c r="W432" i="31"/>
  <c r="V432" i="31" a="1"/>
  <c r="V432" i="31"/>
  <c r="U431" i="31" a="1"/>
  <c r="U431" i="31"/>
  <c r="W431" i="31" a="1"/>
  <c r="W431" i="31"/>
  <c r="V431" i="31" a="1"/>
  <c r="V431" i="31"/>
  <c r="U430" i="31" a="1"/>
  <c r="U430" i="31"/>
  <c r="W430" i="31" a="1"/>
  <c r="W430" i="31"/>
  <c r="V430" i="31" a="1"/>
  <c r="V430" i="31"/>
  <c r="U429" i="31" a="1"/>
  <c r="U429" i="31"/>
  <c r="W429" i="31" a="1"/>
  <c r="W429" i="31"/>
  <c r="V429" i="31" a="1"/>
  <c r="V429" i="31"/>
  <c r="U428" i="31" a="1"/>
  <c r="U428" i="31"/>
  <c r="W428" i="31" a="1"/>
  <c r="W428" i="31"/>
  <c r="V428" i="31" a="1"/>
  <c r="V428" i="31"/>
  <c r="U427" i="31" a="1"/>
  <c r="U427" i="31"/>
  <c r="W427" i="31" a="1"/>
  <c r="W427" i="31"/>
  <c r="V427" i="31" a="1"/>
  <c r="V427" i="31"/>
  <c r="U426" i="31" a="1"/>
  <c r="U426" i="31"/>
  <c r="W426" i="31" a="1"/>
  <c r="W426" i="31"/>
  <c r="V426" i="31" a="1"/>
  <c r="V426" i="31"/>
  <c r="U425" i="31" a="1"/>
  <c r="U425" i="31"/>
  <c r="W425" i="31" a="1"/>
  <c r="W425" i="31"/>
  <c r="V425" i="31" a="1"/>
  <c r="V425" i="31"/>
  <c r="U424" i="31" a="1"/>
  <c r="U424" i="31"/>
  <c r="W424" i="31" a="1"/>
  <c r="W424" i="31"/>
  <c r="V424" i="31" a="1"/>
  <c r="V424" i="31"/>
  <c r="U423" i="31" a="1"/>
  <c r="U423" i="31"/>
  <c r="W423" i="31" a="1"/>
  <c r="W423" i="31"/>
  <c r="V423" i="31" a="1"/>
  <c r="V423" i="31"/>
  <c r="U422" i="31" a="1"/>
  <c r="U422" i="31"/>
  <c r="W422" i="31" a="1"/>
  <c r="W422" i="31"/>
  <c r="V422" i="31" a="1"/>
  <c r="V422" i="31"/>
  <c r="U421" i="31" a="1"/>
  <c r="U421" i="31"/>
  <c r="W421" i="31" a="1"/>
  <c r="W421" i="31"/>
  <c r="V421" i="31" a="1"/>
  <c r="V421" i="31"/>
  <c r="U420" i="31" a="1"/>
  <c r="U420" i="31"/>
  <c r="W420" i="31" a="1"/>
  <c r="W420" i="31"/>
  <c r="V420" i="31" a="1"/>
  <c r="V420" i="31"/>
  <c r="U419" i="31" a="1"/>
  <c r="U419" i="31"/>
  <c r="W419" i="31" a="1"/>
  <c r="W419" i="31"/>
  <c r="V419" i="31" a="1"/>
  <c r="V419" i="31"/>
  <c r="U418" i="31" a="1"/>
  <c r="U418" i="31"/>
  <c r="W418" i="31" a="1"/>
  <c r="W418" i="31"/>
  <c r="V418" i="31" a="1"/>
  <c r="V418" i="31"/>
  <c r="U417" i="31" a="1"/>
  <c r="U417" i="31"/>
  <c r="W417" i="31" a="1"/>
  <c r="W417" i="31"/>
  <c r="V417" i="31" a="1"/>
  <c r="V417" i="31"/>
  <c r="U416" i="31" a="1"/>
  <c r="U416" i="31"/>
  <c r="W416" i="31" a="1"/>
  <c r="W416" i="31"/>
  <c r="V416" i="31" a="1"/>
  <c r="V416" i="31"/>
  <c r="U415" i="31" a="1"/>
  <c r="U415" i="31"/>
  <c r="W415" i="31" a="1"/>
  <c r="W415" i="31"/>
  <c r="V415" i="31" a="1"/>
  <c r="V415" i="31"/>
  <c r="U414" i="31" a="1"/>
  <c r="U414" i="31"/>
  <c r="W414" i="31" a="1"/>
  <c r="W414" i="31"/>
  <c r="V414" i="31" a="1"/>
  <c r="V414" i="31"/>
  <c r="U413" i="31" a="1"/>
  <c r="U413" i="31"/>
  <c r="W413" i="31" a="1"/>
  <c r="W413" i="31"/>
  <c r="V413" i="31" a="1"/>
  <c r="V413" i="31"/>
  <c r="U412" i="31" a="1"/>
  <c r="U412" i="31"/>
  <c r="W412" i="31" a="1"/>
  <c r="W412" i="31"/>
  <c r="V412" i="31" a="1"/>
  <c r="V412" i="31"/>
  <c r="U411" i="31" a="1"/>
  <c r="U411" i="31"/>
  <c r="W411" i="31" a="1"/>
  <c r="W411" i="31"/>
  <c r="V411" i="31" a="1"/>
  <c r="V411" i="31"/>
  <c r="U410" i="31" a="1"/>
  <c r="U410" i="31"/>
  <c r="W410" i="31" a="1"/>
  <c r="W410" i="31"/>
  <c r="V410" i="31" a="1"/>
  <c r="V410" i="31"/>
  <c r="U409" i="31" a="1"/>
  <c r="U409" i="31"/>
  <c r="W409" i="31" a="1"/>
  <c r="W409" i="31"/>
  <c r="V409" i="31" a="1"/>
  <c r="V409" i="31"/>
  <c r="U408" i="31" a="1"/>
  <c r="U408" i="31"/>
  <c r="W408" i="31" a="1"/>
  <c r="W408" i="31"/>
  <c r="V408" i="31" a="1"/>
  <c r="V408" i="31"/>
  <c r="U407" i="31" a="1"/>
  <c r="U407" i="31"/>
  <c r="W407" i="31" a="1"/>
  <c r="W407" i="31"/>
  <c r="V407" i="31" a="1"/>
  <c r="V407" i="31"/>
  <c r="U406" i="31" a="1"/>
  <c r="U406" i="31"/>
  <c r="W406" i="31" a="1"/>
  <c r="W406" i="31"/>
  <c r="V406" i="31" a="1"/>
  <c r="V406" i="31"/>
  <c r="U405" i="31" a="1"/>
  <c r="U405" i="31"/>
  <c r="W405" i="31" a="1"/>
  <c r="W405" i="31"/>
  <c r="V405" i="31" a="1"/>
  <c r="V405" i="31"/>
  <c r="U404" i="31" a="1"/>
  <c r="U404" i="31"/>
  <c r="W404" i="31" a="1"/>
  <c r="W404" i="31"/>
  <c r="V404" i="31" a="1"/>
  <c r="V404" i="31"/>
  <c r="U403" i="31" a="1"/>
  <c r="U403" i="31"/>
  <c r="W403" i="31" a="1"/>
  <c r="W403" i="31"/>
  <c r="V403" i="31" a="1"/>
  <c r="V403" i="31"/>
  <c r="U402" i="31" a="1"/>
  <c r="U402" i="31"/>
  <c r="W402" i="31" a="1"/>
  <c r="W402" i="31"/>
  <c r="V402" i="31" a="1"/>
  <c r="V402" i="31"/>
  <c r="U401" i="31" a="1"/>
  <c r="U401" i="31"/>
  <c r="W401" i="31" a="1"/>
  <c r="W401" i="31"/>
  <c r="V401" i="31" a="1"/>
  <c r="V401" i="31"/>
  <c r="U400" i="31" a="1"/>
  <c r="U400" i="31"/>
  <c r="W400" i="31" a="1"/>
  <c r="W400" i="31"/>
  <c r="V400" i="31" a="1"/>
  <c r="V400" i="31"/>
  <c r="U399" i="31" a="1"/>
  <c r="U399" i="31"/>
  <c r="W399" i="31" a="1"/>
  <c r="W399" i="31"/>
  <c r="V399" i="31" a="1"/>
  <c r="V399" i="31"/>
  <c r="U398" i="31" a="1"/>
  <c r="U398" i="31"/>
  <c r="W398" i="31" a="1"/>
  <c r="W398" i="31"/>
  <c r="V398" i="31" a="1"/>
  <c r="V398" i="31"/>
  <c r="U397" i="31" a="1"/>
  <c r="U397" i="31"/>
  <c r="W397" i="31" a="1"/>
  <c r="W397" i="31"/>
  <c r="V397" i="31" a="1"/>
  <c r="V397" i="31"/>
  <c r="U396" i="31" a="1"/>
  <c r="U396" i="31"/>
  <c r="W396" i="31" a="1"/>
  <c r="W396" i="31"/>
  <c r="V396" i="31" a="1"/>
  <c r="V396" i="31"/>
  <c r="U395" i="31" a="1"/>
  <c r="U395" i="31"/>
  <c r="W395" i="31" a="1"/>
  <c r="W395" i="31"/>
  <c r="V395" i="31" a="1"/>
  <c r="V395" i="31"/>
  <c r="U394" i="31" a="1"/>
  <c r="U394" i="31"/>
  <c r="W394" i="31" a="1"/>
  <c r="W394" i="31"/>
  <c r="V394" i="31" a="1"/>
  <c r="V394" i="31"/>
  <c r="U393" i="31" a="1"/>
  <c r="U393" i="31"/>
  <c r="W393" i="31" a="1"/>
  <c r="W393" i="31"/>
  <c r="V393" i="31" a="1"/>
  <c r="V393" i="31"/>
  <c r="U392" i="31" a="1"/>
  <c r="U392" i="31"/>
  <c r="W392" i="31" a="1"/>
  <c r="W392" i="31"/>
  <c r="V392" i="31" a="1"/>
  <c r="V392" i="31"/>
  <c r="U391" i="31" a="1"/>
  <c r="U391" i="31"/>
  <c r="W391" i="31" a="1"/>
  <c r="W391" i="31"/>
  <c r="V391" i="31" a="1"/>
  <c r="V391" i="31"/>
  <c r="U390" i="31" a="1"/>
  <c r="U390" i="31"/>
  <c r="W390" i="31" a="1"/>
  <c r="W390" i="31"/>
  <c r="V390" i="31" a="1"/>
  <c r="V390" i="31"/>
  <c r="U389" i="31" a="1"/>
  <c r="U389" i="31"/>
  <c r="W389" i="31" a="1"/>
  <c r="W389" i="31"/>
  <c r="V389" i="31" a="1"/>
  <c r="V389" i="31"/>
  <c r="U388" i="31" a="1"/>
  <c r="U388" i="31"/>
  <c r="W388" i="31" a="1"/>
  <c r="W388" i="31"/>
  <c r="V388" i="31" a="1"/>
  <c r="V388" i="31"/>
  <c r="U387" i="31" a="1"/>
  <c r="U387" i="31"/>
  <c r="W387" i="31" a="1"/>
  <c r="W387" i="31"/>
  <c r="V387" i="31" a="1"/>
  <c r="V387" i="31"/>
  <c r="U386" i="31" a="1"/>
  <c r="U386" i="31"/>
  <c r="W386" i="31" a="1"/>
  <c r="W386" i="31"/>
  <c r="V386" i="31" a="1"/>
  <c r="V386" i="31"/>
  <c r="U385" i="31" a="1"/>
  <c r="U385" i="31"/>
  <c r="W385" i="31" a="1"/>
  <c r="W385" i="31"/>
  <c r="V385" i="31" a="1"/>
  <c r="V385" i="31"/>
  <c r="U384" i="31" a="1"/>
  <c r="U384" i="31"/>
  <c r="W384" i="31" a="1"/>
  <c r="W384" i="31"/>
  <c r="V384" i="31" a="1"/>
  <c r="V384" i="31"/>
  <c r="U383" i="31" a="1"/>
  <c r="U383" i="31"/>
  <c r="W383" i="31" a="1"/>
  <c r="W383" i="31"/>
  <c r="V383" i="31" a="1"/>
  <c r="V383" i="31"/>
  <c r="U382" i="31" a="1"/>
  <c r="U382" i="31"/>
  <c r="W382" i="31" a="1"/>
  <c r="W382" i="31"/>
  <c r="V382" i="31" a="1"/>
  <c r="V382" i="31"/>
  <c r="U381" i="31" a="1"/>
  <c r="U381" i="31"/>
  <c r="W381" i="31" a="1"/>
  <c r="W381" i="31"/>
  <c r="V381" i="31" a="1"/>
  <c r="V381" i="31"/>
  <c r="U380" i="31" a="1"/>
  <c r="U380" i="31"/>
  <c r="W380" i="31" a="1"/>
  <c r="W380" i="31"/>
  <c r="V380" i="31" a="1"/>
  <c r="V380" i="31"/>
  <c r="U379" i="31" a="1"/>
  <c r="U379" i="31"/>
  <c r="W379" i="31" a="1"/>
  <c r="W379" i="31"/>
  <c r="V379" i="31" a="1"/>
  <c r="V379" i="31"/>
  <c r="U378" i="31" a="1"/>
  <c r="U378" i="31"/>
  <c r="W378" i="31" a="1"/>
  <c r="W378" i="31"/>
  <c r="V378" i="31" a="1"/>
  <c r="V378" i="31"/>
  <c r="U377" i="31" a="1"/>
  <c r="U377" i="31"/>
  <c r="W377" i="31" a="1"/>
  <c r="W377" i="31"/>
  <c r="V377" i="31" a="1"/>
  <c r="V377" i="31"/>
  <c r="U376" i="31" a="1"/>
  <c r="U376" i="31"/>
  <c r="W376" i="31" a="1"/>
  <c r="W376" i="31"/>
  <c r="V376" i="31" a="1"/>
  <c r="V376" i="31"/>
  <c r="U375" i="31" a="1"/>
  <c r="U375" i="31"/>
  <c r="W375" i="31" a="1"/>
  <c r="W375" i="31"/>
  <c r="V375" i="31" a="1"/>
  <c r="V375" i="31"/>
  <c r="U374" i="31" a="1"/>
  <c r="U374" i="31"/>
  <c r="W374" i="31" a="1"/>
  <c r="W374" i="31"/>
  <c r="V374" i="31" a="1"/>
  <c r="V374" i="31"/>
  <c r="U373" i="31" a="1"/>
  <c r="U373" i="31"/>
  <c r="W373" i="31" a="1"/>
  <c r="W373" i="31"/>
  <c r="V373" i="31" a="1"/>
  <c r="V373" i="31"/>
  <c r="U372" i="31" a="1"/>
  <c r="U372" i="31"/>
  <c r="W372" i="31" a="1"/>
  <c r="W372" i="31"/>
  <c r="V372" i="31" a="1"/>
  <c r="V372" i="31"/>
  <c r="U371" i="31" a="1"/>
  <c r="U371" i="31"/>
  <c r="W371" i="31" a="1"/>
  <c r="W371" i="31"/>
  <c r="V371" i="31" a="1"/>
  <c r="V371" i="31"/>
  <c r="U370" i="31" a="1"/>
  <c r="U370" i="31"/>
  <c r="W370" i="31" a="1"/>
  <c r="W370" i="31"/>
  <c r="V370" i="31" a="1"/>
  <c r="V370" i="31"/>
  <c r="U369" i="31" a="1"/>
  <c r="U369" i="31"/>
  <c r="W369" i="31" a="1"/>
  <c r="W369" i="31"/>
  <c r="V369" i="31" a="1"/>
  <c r="V369" i="31"/>
  <c r="U368" i="31" a="1"/>
  <c r="U368" i="31"/>
  <c r="W368" i="31" a="1"/>
  <c r="W368" i="31"/>
  <c r="V368" i="31" a="1"/>
  <c r="V368" i="31"/>
  <c r="U367" i="31" a="1"/>
  <c r="U367" i="31"/>
  <c r="W367" i="31" a="1"/>
  <c r="W367" i="31"/>
  <c r="V367" i="31" a="1"/>
  <c r="V367" i="31"/>
  <c r="U366" i="31" a="1"/>
  <c r="U366" i="31"/>
  <c r="W366" i="31" a="1"/>
  <c r="W366" i="31"/>
  <c r="V366" i="31" a="1"/>
  <c r="V366" i="31"/>
  <c r="U365" i="31" a="1"/>
  <c r="U365" i="31"/>
  <c r="W365" i="31" a="1"/>
  <c r="W365" i="31"/>
  <c r="V365" i="31" a="1"/>
  <c r="V365" i="31"/>
  <c r="U364" i="31" a="1"/>
  <c r="U364" i="31"/>
  <c r="W364" i="31" a="1"/>
  <c r="W364" i="31"/>
  <c r="V364" i="31" a="1"/>
  <c r="V364" i="31"/>
  <c r="U363" i="31" a="1"/>
  <c r="U363" i="31"/>
  <c r="W363" i="31" a="1"/>
  <c r="W363" i="31"/>
  <c r="V363" i="31" a="1"/>
  <c r="V363" i="31"/>
  <c r="U362" i="31" a="1"/>
  <c r="U362" i="31"/>
  <c r="W362" i="31" a="1"/>
  <c r="W362" i="31"/>
  <c r="V362" i="31" a="1"/>
  <c r="V362" i="31"/>
  <c r="U361" i="31" a="1"/>
  <c r="U361" i="31"/>
  <c r="W361" i="31" a="1"/>
  <c r="W361" i="31"/>
  <c r="V361" i="31" a="1"/>
  <c r="V361" i="31"/>
  <c r="U360" i="31" a="1"/>
  <c r="U360" i="31"/>
  <c r="W360" i="31" a="1"/>
  <c r="W360" i="31"/>
  <c r="V360" i="31" a="1"/>
  <c r="V360" i="31"/>
  <c r="U359" i="31" a="1"/>
  <c r="U359" i="31"/>
  <c r="W359" i="31" a="1"/>
  <c r="W359" i="31"/>
  <c r="V359" i="31" a="1"/>
  <c r="V359" i="31"/>
  <c r="U358" i="31" a="1"/>
  <c r="U358" i="31"/>
  <c r="W358" i="31" a="1"/>
  <c r="W358" i="31"/>
  <c r="V358" i="31" a="1"/>
  <c r="V358" i="31"/>
  <c r="U357" i="31" a="1"/>
  <c r="U357" i="31"/>
  <c r="W357" i="31" a="1"/>
  <c r="W357" i="31"/>
  <c r="V357" i="31" a="1"/>
  <c r="V357" i="31"/>
  <c r="U356" i="31" a="1"/>
  <c r="U356" i="31"/>
  <c r="W356" i="31" a="1"/>
  <c r="W356" i="31"/>
  <c r="V356" i="31" a="1"/>
  <c r="V356" i="31"/>
  <c r="U355" i="31" a="1"/>
  <c r="U355" i="31"/>
  <c r="W355" i="31" a="1"/>
  <c r="W355" i="31"/>
  <c r="V355" i="31" a="1"/>
  <c r="V355" i="31"/>
  <c r="U354" i="31" a="1"/>
  <c r="U354" i="31"/>
  <c r="W354" i="31" a="1"/>
  <c r="W354" i="31"/>
  <c r="V354" i="31" a="1"/>
  <c r="V354" i="31"/>
  <c r="U353" i="31" a="1"/>
  <c r="U353" i="31"/>
  <c r="W353" i="31" a="1"/>
  <c r="W353" i="31"/>
  <c r="V353" i="31" a="1"/>
  <c r="V353" i="31"/>
  <c r="U352" i="31" a="1"/>
  <c r="U352" i="31"/>
  <c r="W352" i="31" a="1"/>
  <c r="W352" i="31"/>
  <c r="V352" i="31" a="1"/>
  <c r="V352" i="31"/>
  <c r="U351" i="31" a="1"/>
  <c r="U351" i="31"/>
  <c r="W351" i="31" a="1"/>
  <c r="W351" i="31"/>
  <c r="V351" i="31" a="1"/>
  <c r="V351" i="31"/>
  <c r="U350" i="31" a="1"/>
  <c r="U350" i="31"/>
  <c r="W350" i="31" a="1"/>
  <c r="W350" i="31"/>
  <c r="V350" i="31" a="1"/>
  <c r="V350" i="31"/>
  <c r="U349" i="31" a="1"/>
  <c r="U349" i="31"/>
  <c r="W349" i="31" a="1"/>
  <c r="W349" i="31"/>
  <c r="V349" i="31" a="1"/>
  <c r="V349" i="31"/>
  <c r="U348" i="31" a="1"/>
  <c r="U348" i="31"/>
  <c r="W348" i="31" a="1"/>
  <c r="W348" i="31"/>
  <c r="V348" i="31" a="1"/>
  <c r="V348" i="31"/>
  <c r="U347" i="31" a="1"/>
  <c r="U347" i="31"/>
  <c r="W347" i="31" a="1"/>
  <c r="W347" i="31"/>
  <c r="V347" i="31" a="1"/>
  <c r="V347" i="31"/>
  <c r="U346" i="31" a="1"/>
  <c r="U346" i="31"/>
  <c r="W346" i="31" a="1"/>
  <c r="W346" i="31"/>
  <c r="V346" i="31" a="1"/>
  <c r="V346" i="31"/>
  <c r="U345" i="31" a="1"/>
  <c r="U345" i="31"/>
  <c r="W345" i="31" a="1"/>
  <c r="W345" i="31"/>
  <c r="V345" i="31" a="1"/>
  <c r="V345" i="31"/>
  <c r="U344" i="31" a="1"/>
  <c r="U344" i="31"/>
  <c r="W344" i="31" a="1"/>
  <c r="W344" i="31"/>
  <c r="V344" i="31" a="1"/>
  <c r="V344" i="31"/>
  <c r="U343" i="31" a="1"/>
  <c r="U343" i="31"/>
  <c r="W343" i="31" a="1"/>
  <c r="W343" i="31"/>
  <c r="V343" i="31" a="1"/>
  <c r="V343" i="31"/>
  <c r="U342" i="31" a="1"/>
  <c r="U342" i="31"/>
  <c r="W342" i="31" a="1"/>
  <c r="W342" i="31"/>
  <c r="V342" i="31" a="1"/>
  <c r="V342" i="31"/>
  <c r="U341" i="31" a="1"/>
  <c r="U341" i="31"/>
  <c r="W341" i="31" a="1"/>
  <c r="W341" i="31"/>
  <c r="V341" i="31" a="1"/>
  <c r="V341" i="31"/>
  <c r="U340" i="31" a="1"/>
  <c r="U340" i="31"/>
  <c r="W340" i="31" a="1"/>
  <c r="W340" i="31"/>
  <c r="V340" i="31" a="1"/>
  <c r="V340" i="31"/>
  <c r="U339" i="31" a="1"/>
  <c r="U339" i="31"/>
  <c r="W339" i="31" a="1"/>
  <c r="W339" i="31"/>
  <c r="V339" i="31" a="1"/>
  <c r="V339" i="31"/>
  <c r="U338" i="31" a="1"/>
  <c r="U338" i="31"/>
  <c r="W338" i="31" a="1"/>
  <c r="W338" i="31"/>
  <c r="V338" i="31" a="1"/>
  <c r="V338" i="31"/>
  <c r="U337" i="31" a="1"/>
  <c r="U337" i="31"/>
  <c r="W337" i="31" a="1"/>
  <c r="W337" i="31"/>
  <c r="V337" i="31" a="1"/>
  <c r="V337" i="31"/>
  <c r="U336" i="31" a="1"/>
  <c r="U336" i="31"/>
  <c r="W336" i="31" a="1"/>
  <c r="W336" i="31"/>
  <c r="V336" i="31" a="1"/>
  <c r="V336" i="31"/>
  <c r="U335" i="31" a="1"/>
  <c r="U335" i="31"/>
  <c r="W335" i="31" a="1"/>
  <c r="W335" i="31"/>
  <c r="V335" i="31" a="1"/>
  <c r="V335" i="31"/>
  <c r="U334" i="31" a="1"/>
  <c r="U334" i="31"/>
  <c r="W334" i="31" a="1"/>
  <c r="W334" i="31"/>
  <c r="V334" i="31" a="1"/>
  <c r="V334" i="31"/>
  <c r="U333" i="31" a="1"/>
  <c r="U333" i="31"/>
  <c r="W333" i="31" a="1"/>
  <c r="W333" i="31"/>
  <c r="V333" i="31" a="1"/>
  <c r="V333" i="31"/>
  <c r="U332" i="31" a="1"/>
  <c r="U332" i="31"/>
  <c r="W332" i="31" a="1"/>
  <c r="W332" i="31"/>
  <c r="V332" i="31" a="1"/>
  <c r="V332" i="31"/>
  <c r="U331" i="31" a="1"/>
  <c r="U331" i="31"/>
  <c r="W331" i="31" a="1"/>
  <c r="W331" i="31"/>
  <c r="V331" i="31" a="1"/>
  <c r="V331" i="31"/>
  <c r="U330" i="31" a="1"/>
  <c r="U330" i="31"/>
  <c r="W330" i="31" a="1"/>
  <c r="W330" i="31"/>
  <c r="V330" i="31" a="1"/>
  <c r="V330" i="31"/>
  <c r="U329" i="31" a="1"/>
  <c r="U329" i="31"/>
  <c r="W329" i="31" a="1"/>
  <c r="W329" i="31"/>
  <c r="V329" i="31" a="1"/>
  <c r="V329" i="31"/>
  <c r="U328" i="31" a="1"/>
  <c r="U328" i="31"/>
  <c r="W328" i="31" a="1"/>
  <c r="W328" i="31"/>
  <c r="V328" i="31" a="1"/>
  <c r="V328" i="31"/>
  <c r="U327" i="31" a="1"/>
  <c r="U327" i="31"/>
  <c r="W327" i="31" a="1"/>
  <c r="W327" i="31"/>
  <c r="V327" i="31" a="1"/>
  <c r="V327" i="31"/>
  <c r="U326" i="31" a="1"/>
  <c r="U326" i="31"/>
  <c r="W326" i="31" a="1"/>
  <c r="W326" i="31"/>
  <c r="V326" i="31" a="1"/>
  <c r="V326" i="31"/>
  <c r="U325" i="31" a="1"/>
  <c r="U325" i="31"/>
  <c r="W325" i="31" a="1"/>
  <c r="W325" i="31"/>
  <c r="V325" i="31" a="1"/>
  <c r="V325" i="31"/>
  <c r="U324" i="31" a="1"/>
  <c r="U324" i="31"/>
  <c r="W324" i="31" a="1"/>
  <c r="W324" i="31"/>
  <c r="V324" i="31" a="1"/>
  <c r="V324" i="31"/>
  <c r="U323" i="31" a="1"/>
  <c r="U323" i="31"/>
  <c r="W323" i="31" a="1"/>
  <c r="W323" i="31"/>
  <c r="V323" i="31" a="1"/>
  <c r="V323" i="31"/>
  <c r="U322" i="31" a="1"/>
  <c r="U322" i="31"/>
  <c r="W322" i="31" a="1"/>
  <c r="W322" i="31"/>
  <c r="V322" i="31" a="1"/>
  <c r="V322" i="31"/>
  <c r="U321" i="31" a="1"/>
  <c r="U321" i="31"/>
  <c r="W321" i="31" a="1"/>
  <c r="W321" i="31"/>
  <c r="V321" i="31" a="1"/>
  <c r="V321" i="31"/>
  <c r="U320" i="31" a="1"/>
  <c r="U320" i="31"/>
  <c r="W320" i="31" a="1"/>
  <c r="W320" i="31"/>
  <c r="V320" i="31" a="1"/>
  <c r="V320" i="31"/>
  <c r="U319" i="31" a="1"/>
  <c r="U319" i="31"/>
  <c r="W319" i="31" a="1"/>
  <c r="W319" i="31"/>
  <c r="V319" i="31" a="1"/>
  <c r="V319" i="31"/>
  <c r="U318" i="31" a="1"/>
  <c r="U318" i="31"/>
  <c r="W318" i="31" a="1"/>
  <c r="W318" i="31"/>
  <c r="V318" i="31" a="1"/>
  <c r="V318" i="31"/>
  <c r="U317" i="31" a="1"/>
  <c r="U317" i="31"/>
  <c r="W317" i="31" a="1"/>
  <c r="W317" i="31"/>
  <c r="V317" i="31" a="1"/>
  <c r="V317" i="31"/>
  <c r="U316" i="31" a="1"/>
  <c r="U316" i="31"/>
  <c r="W316" i="31" a="1"/>
  <c r="W316" i="31"/>
  <c r="V316" i="31" a="1"/>
  <c r="V316" i="31"/>
  <c r="U315" i="31" a="1"/>
  <c r="U315" i="31"/>
  <c r="W315" i="31" a="1"/>
  <c r="W315" i="31"/>
  <c r="V315" i="31" a="1"/>
  <c r="V315" i="31"/>
  <c r="U314" i="31" a="1"/>
  <c r="U314" i="31"/>
  <c r="W314" i="31" a="1"/>
  <c r="W314" i="31"/>
  <c r="V314" i="31" a="1"/>
  <c r="V314" i="31"/>
  <c r="U313" i="31" a="1"/>
  <c r="U313" i="31"/>
  <c r="W313" i="31" a="1"/>
  <c r="W313" i="31"/>
  <c r="V313" i="31" a="1"/>
  <c r="V313" i="31"/>
  <c r="U312" i="31" a="1"/>
  <c r="U312" i="31"/>
  <c r="W312" i="31" a="1"/>
  <c r="W312" i="31"/>
  <c r="V312" i="31" a="1"/>
  <c r="V312" i="31"/>
  <c r="U311" i="31" a="1"/>
  <c r="U311" i="31"/>
  <c r="W311" i="31" a="1"/>
  <c r="W311" i="31"/>
  <c r="V311" i="31" a="1"/>
  <c r="V311" i="31"/>
  <c r="U310" i="31" a="1"/>
  <c r="U310" i="31"/>
  <c r="W310" i="31" a="1"/>
  <c r="W310" i="31"/>
  <c r="V310" i="31" a="1"/>
  <c r="V310" i="31"/>
  <c r="U309" i="31" a="1"/>
  <c r="U309" i="31"/>
  <c r="W309" i="31" a="1"/>
  <c r="W309" i="31"/>
  <c r="V309" i="31" a="1"/>
  <c r="V309" i="31"/>
  <c r="U308" i="31" a="1"/>
  <c r="U308" i="31"/>
  <c r="W308" i="31" a="1"/>
  <c r="W308" i="31"/>
  <c r="V308" i="31" a="1"/>
  <c r="V308" i="31"/>
  <c r="U307" i="31" a="1"/>
  <c r="U307" i="31"/>
  <c r="W307" i="31" a="1"/>
  <c r="W307" i="31"/>
  <c r="V307" i="31" a="1"/>
  <c r="V307" i="31"/>
  <c r="U306" i="31" a="1"/>
  <c r="U306" i="31"/>
  <c r="W306" i="31" a="1"/>
  <c r="W306" i="31"/>
  <c r="V306" i="31" a="1"/>
  <c r="V306" i="31"/>
  <c r="U305" i="31" a="1"/>
  <c r="U305" i="31"/>
  <c r="W305" i="31" a="1"/>
  <c r="W305" i="31"/>
  <c r="V305" i="31" a="1"/>
  <c r="V305" i="31"/>
  <c r="U304" i="31" a="1"/>
  <c r="U304" i="31"/>
  <c r="W304" i="31" a="1"/>
  <c r="W304" i="31"/>
  <c r="V304" i="31" a="1"/>
  <c r="V304" i="31"/>
  <c r="U303" i="31" a="1"/>
  <c r="U303" i="31"/>
  <c r="W303" i="31" a="1"/>
  <c r="W303" i="31"/>
  <c r="V303" i="31" a="1"/>
  <c r="V303" i="31"/>
  <c r="U302" i="31" a="1"/>
  <c r="U302" i="31"/>
  <c r="W302" i="31" a="1"/>
  <c r="W302" i="31"/>
  <c r="V302" i="31" a="1"/>
  <c r="V302" i="31"/>
  <c r="U301" i="31" a="1"/>
  <c r="U301" i="31"/>
  <c r="W301" i="31" a="1"/>
  <c r="W301" i="31"/>
  <c r="V301" i="31" a="1"/>
  <c r="V301" i="31"/>
  <c r="U300" i="31" a="1"/>
  <c r="U300" i="31"/>
  <c r="W300" i="31" a="1"/>
  <c r="W300" i="31"/>
  <c r="V300" i="31" a="1"/>
  <c r="V300" i="31"/>
  <c r="U299" i="31" a="1"/>
  <c r="U299" i="31"/>
  <c r="W299" i="31" a="1"/>
  <c r="W299" i="31"/>
  <c r="V299" i="31" a="1"/>
  <c r="V299" i="31"/>
  <c r="U298" i="31" a="1"/>
  <c r="U298" i="31"/>
  <c r="W298" i="31" a="1"/>
  <c r="W298" i="31"/>
  <c r="V298" i="31" a="1"/>
  <c r="V298" i="31"/>
  <c r="U297" i="31" a="1"/>
  <c r="U297" i="31"/>
  <c r="W297" i="31" a="1"/>
  <c r="W297" i="31"/>
  <c r="V297" i="31" a="1"/>
  <c r="V297" i="31"/>
  <c r="U296" i="31" a="1"/>
  <c r="U296" i="31"/>
  <c r="W296" i="31" a="1"/>
  <c r="W296" i="31"/>
  <c r="V296" i="31" a="1"/>
  <c r="V296" i="31"/>
  <c r="U295" i="31" a="1"/>
  <c r="U295" i="31"/>
  <c r="W295" i="31" a="1"/>
  <c r="W295" i="31"/>
  <c r="V295" i="31" a="1"/>
  <c r="V295" i="31"/>
  <c r="U294" i="31" a="1"/>
  <c r="U294" i="31"/>
  <c r="W294" i="31" a="1"/>
  <c r="W294" i="31"/>
  <c r="V294" i="31" a="1"/>
  <c r="V294" i="31"/>
  <c r="U293" i="31" a="1"/>
  <c r="U293" i="31"/>
  <c r="W293" i="31" a="1"/>
  <c r="W293" i="31"/>
  <c r="V293" i="31" a="1"/>
  <c r="V293" i="31"/>
  <c r="U292" i="31" a="1"/>
  <c r="U292" i="31"/>
  <c r="W292" i="31" a="1"/>
  <c r="W292" i="31"/>
  <c r="V292" i="31" a="1"/>
  <c r="V292" i="31"/>
  <c r="U291" i="31" a="1"/>
  <c r="U291" i="31"/>
  <c r="W291" i="31" a="1"/>
  <c r="W291" i="31"/>
  <c r="V291" i="31" a="1"/>
  <c r="V291" i="31"/>
  <c r="U290" i="31" a="1"/>
  <c r="U290" i="31"/>
  <c r="W290" i="31" a="1"/>
  <c r="W290" i="31"/>
  <c r="V290" i="31" a="1"/>
  <c r="V290" i="31"/>
  <c r="U289" i="31" a="1"/>
  <c r="U289" i="31"/>
  <c r="W289" i="31" a="1"/>
  <c r="W289" i="31"/>
  <c r="V289" i="31" a="1"/>
  <c r="V289" i="31"/>
  <c r="U288" i="31" a="1"/>
  <c r="U288" i="31"/>
  <c r="W288" i="31" a="1"/>
  <c r="W288" i="31"/>
  <c r="V288" i="31" a="1"/>
  <c r="V288" i="31"/>
  <c r="U287" i="31" a="1"/>
  <c r="U287" i="31"/>
  <c r="W287" i="31" a="1"/>
  <c r="W287" i="31"/>
  <c r="V287" i="31" a="1"/>
  <c r="V287" i="31"/>
  <c r="U286" i="31" a="1"/>
  <c r="U286" i="31"/>
  <c r="W286" i="31" a="1"/>
  <c r="W286" i="31"/>
  <c r="V286" i="31" a="1"/>
  <c r="V286" i="31"/>
  <c r="U285" i="31" a="1"/>
  <c r="U285" i="31"/>
  <c r="W285" i="31" a="1"/>
  <c r="W285" i="31"/>
  <c r="V285" i="31" a="1"/>
  <c r="V285" i="31"/>
  <c r="U284" i="31" a="1"/>
  <c r="U284" i="31"/>
  <c r="W284" i="31" a="1"/>
  <c r="W284" i="31"/>
  <c r="V284" i="31" a="1"/>
  <c r="V284" i="31"/>
  <c r="U283" i="31" a="1"/>
  <c r="U283" i="31"/>
  <c r="W283" i="31" a="1"/>
  <c r="W283" i="31"/>
  <c r="V283" i="31" a="1"/>
  <c r="V283" i="31"/>
  <c r="U282" i="31" a="1"/>
  <c r="U282" i="31"/>
  <c r="W282" i="31" a="1"/>
  <c r="W282" i="31"/>
  <c r="V282" i="31" a="1"/>
  <c r="V282" i="31"/>
  <c r="U281" i="31" a="1"/>
  <c r="U281" i="31"/>
  <c r="W281" i="31" a="1"/>
  <c r="W281" i="31"/>
  <c r="V281" i="31" a="1"/>
  <c r="V281" i="31"/>
  <c r="U280" i="31" a="1"/>
  <c r="U280" i="31"/>
  <c r="W280" i="31" a="1"/>
  <c r="W280" i="31"/>
  <c r="V280" i="31" a="1"/>
  <c r="V280" i="31"/>
  <c r="U279" i="31" a="1"/>
  <c r="U279" i="31"/>
  <c r="W279" i="31" a="1"/>
  <c r="W279" i="31"/>
  <c r="V279" i="31" a="1"/>
  <c r="V279" i="31"/>
  <c r="U278" i="31" a="1"/>
  <c r="U278" i="31"/>
  <c r="W278" i="31" a="1"/>
  <c r="W278" i="31"/>
  <c r="V278" i="31" a="1"/>
  <c r="V278" i="31"/>
  <c r="U277" i="31" a="1"/>
  <c r="U277" i="31"/>
  <c r="W277" i="31" a="1"/>
  <c r="W277" i="31"/>
  <c r="V277" i="31" a="1"/>
  <c r="V277" i="31"/>
  <c r="U276" i="31" a="1"/>
  <c r="U276" i="31"/>
  <c r="W276" i="31" a="1"/>
  <c r="W276" i="31"/>
  <c r="V276" i="31" a="1"/>
  <c r="V276" i="31"/>
  <c r="U275" i="31" a="1"/>
  <c r="U275" i="31"/>
  <c r="W275" i="31" a="1"/>
  <c r="W275" i="31"/>
  <c r="V275" i="31" a="1"/>
  <c r="V275" i="31"/>
  <c r="U274" i="31" a="1"/>
  <c r="U274" i="31"/>
  <c r="W274" i="31" a="1"/>
  <c r="W274" i="31"/>
  <c r="V274" i="31" a="1"/>
  <c r="V274" i="31"/>
  <c r="U273" i="31" a="1"/>
  <c r="U273" i="31"/>
  <c r="W273" i="31" a="1"/>
  <c r="W273" i="31"/>
  <c r="V273" i="31" a="1"/>
  <c r="V273" i="31"/>
  <c r="U272" i="31" a="1"/>
  <c r="U272" i="31"/>
  <c r="W272" i="31" a="1"/>
  <c r="W272" i="31"/>
  <c r="V272" i="31" a="1"/>
  <c r="V272" i="31"/>
  <c r="U271" i="31" a="1"/>
  <c r="U271" i="31"/>
  <c r="W271" i="31" a="1"/>
  <c r="W271" i="31"/>
  <c r="V271" i="31" a="1"/>
  <c r="V271" i="31"/>
  <c r="U270" i="31" a="1"/>
  <c r="U270" i="31"/>
  <c r="W270" i="31" a="1"/>
  <c r="W270" i="31"/>
  <c r="V270" i="31" a="1"/>
  <c r="V270" i="31"/>
  <c r="U269" i="31" a="1"/>
  <c r="U269" i="31"/>
  <c r="W269" i="31" a="1"/>
  <c r="W269" i="31"/>
  <c r="V269" i="31" a="1"/>
  <c r="V269" i="31"/>
  <c r="U268" i="31" a="1"/>
  <c r="U268" i="31"/>
  <c r="W268" i="31" a="1"/>
  <c r="W268" i="31"/>
  <c r="V268" i="31" a="1"/>
  <c r="V268" i="31"/>
  <c r="U267" i="31" a="1"/>
  <c r="U267" i="31"/>
  <c r="W267" i="31" a="1"/>
  <c r="W267" i="31"/>
  <c r="V267" i="31" a="1"/>
  <c r="V267" i="31"/>
  <c r="U266" i="31" a="1"/>
  <c r="U266" i="31"/>
  <c r="W266" i="31" a="1"/>
  <c r="W266" i="31"/>
  <c r="V266" i="31" a="1"/>
  <c r="V266" i="31"/>
  <c r="U265" i="31" a="1"/>
  <c r="U265" i="31"/>
  <c r="W265" i="31" a="1"/>
  <c r="W265" i="31"/>
  <c r="V265" i="31" a="1"/>
  <c r="V265" i="31"/>
  <c r="U264" i="31" a="1"/>
  <c r="U264" i="31"/>
  <c r="W264" i="31" a="1"/>
  <c r="W264" i="31"/>
  <c r="V264" i="31" a="1"/>
  <c r="V264" i="31"/>
  <c r="U263" i="31" a="1"/>
  <c r="U263" i="31"/>
  <c r="W263" i="31" a="1"/>
  <c r="W263" i="31"/>
  <c r="V263" i="31" a="1"/>
  <c r="V263" i="31"/>
  <c r="U262" i="31" a="1"/>
  <c r="U262" i="31"/>
  <c r="W262" i="31" a="1"/>
  <c r="W262" i="31"/>
  <c r="V262" i="31" a="1"/>
  <c r="V262" i="31"/>
  <c r="U261" i="31" a="1"/>
  <c r="U261" i="31"/>
  <c r="W261" i="31" a="1"/>
  <c r="W261" i="31"/>
  <c r="V261" i="31" a="1"/>
  <c r="V261" i="31"/>
  <c r="U260" i="31" a="1"/>
  <c r="U260" i="31"/>
  <c r="W260" i="31" a="1"/>
  <c r="W260" i="31"/>
  <c r="V260" i="31" a="1"/>
  <c r="V260" i="31"/>
  <c r="U259" i="31" a="1"/>
  <c r="U259" i="31"/>
  <c r="W259" i="31" a="1"/>
  <c r="W259" i="31"/>
  <c r="V259" i="31" a="1"/>
  <c r="V259" i="31"/>
  <c r="U258" i="31" a="1"/>
  <c r="U258" i="31"/>
  <c r="W258" i="31" a="1"/>
  <c r="W258" i="31"/>
  <c r="V258" i="31" a="1"/>
  <c r="V258" i="31"/>
  <c r="U257" i="31" a="1"/>
  <c r="U257" i="31"/>
  <c r="W257" i="31" a="1"/>
  <c r="W257" i="31"/>
  <c r="V257" i="31" a="1"/>
  <c r="V257" i="31"/>
  <c r="U256" i="31" a="1"/>
  <c r="U256" i="31"/>
  <c r="W256" i="31" a="1"/>
  <c r="W256" i="31"/>
  <c r="V256" i="31" a="1"/>
  <c r="V256" i="31"/>
  <c r="U255" i="31" a="1"/>
  <c r="U255" i="31"/>
  <c r="W255" i="31" a="1"/>
  <c r="W255" i="31"/>
  <c r="V255" i="31" a="1"/>
  <c r="V255" i="31"/>
  <c r="U254" i="31" a="1"/>
  <c r="U254" i="31"/>
  <c r="W254" i="31" a="1"/>
  <c r="W254" i="31"/>
  <c r="V254" i="31" a="1"/>
  <c r="V254" i="31"/>
  <c r="U253" i="31" a="1"/>
  <c r="U253" i="31"/>
  <c r="W253" i="31" a="1"/>
  <c r="W253" i="31"/>
  <c r="V253" i="31" a="1"/>
  <c r="V253" i="31"/>
  <c r="U252" i="31" a="1"/>
  <c r="U252" i="31"/>
  <c r="W252" i="31" a="1"/>
  <c r="W252" i="31"/>
  <c r="V252" i="31" a="1"/>
  <c r="V252" i="31"/>
  <c r="U251" i="31" a="1"/>
  <c r="U251" i="31"/>
  <c r="W251" i="31" a="1"/>
  <c r="W251" i="31"/>
  <c r="V251" i="31" a="1"/>
  <c r="V251" i="31"/>
  <c r="U250" i="31" a="1"/>
  <c r="U250" i="31"/>
  <c r="W250" i="31" a="1"/>
  <c r="W250" i="31"/>
  <c r="V250" i="31" a="1"/>
  <c r="V250" i="31"/>
  <c r="U249" i="31" a="1"/>
  <c r="U249" i="31"/>
  <c r="W249" i="31" a="1"/>
  <c r="W249" i="31"/>
  <c r="V249" i="31" a="1"/>
  <c r="V249" i="31"/>
  <c r="U248" i="31" a="1"/>
  <c r="U248" i="31"/>
  <c r="W248" i="31" a="1"/>
  <c r="W248" i="31"/>
  <c r="V248" i="31" a="1"/>
  <c r="V248" i="31"/>
  <c r="U247" i="31" a="1"/>
  <c r="U247" i="31"/>
  <c r="W247" i="31" a="1"/>
  <c r="W247" i="31"/>
  <c r="V247" i="31" a="1"/>
  <c r="V247" i="31"/>
  <c r="U246" i="31" a="1"/>
  <c r="U246" i="31"/>
  <c r="W246" i="31" a="1"/>
  <c r="W246" i="31"/>
  <c r="V246" i="31" a="1"/>
  <c r="V246" i="31"/>
  <c r="U245" i="31" a="1"/>
  <c r="U245" i="31"/>
  <c r="W245" i="31" a="1"/>
  <c r="W245" i="31"/>
  <c r="V245" i="31" a="1"/>
  <c r="V245" i="31"/>
  <c r="U244" i="31" a="1"/>
  <c r="U244" i="31"/>
  <c r="W244" i="31" a="1"/>
  <c r="W244" i="31"/>
  <c r="V244" i="31" a="1"/>
  <c r="V244" i="31"/>
  <c r="U243" i="31" a="1"/>
  <c r="U243" i="31"/>
  <c r="W243" i="31" a="1"/>
  <c r="W243" i="31"/>
  <c r="V243" i="31" a="1"/>
  <c r="V243" i="31"/>
  <c r="U242" i="31" a="1"/>
  <c r="U242" i="31"/>
  <c r="W242" i="31" a="1"/>
  <c r="W242" i="31"/>
  <c r="V242" i="31" a="1"/>
  <c r="V242" i="31"/>
  <c r="U241" i="31" a="1"/>
  <c r="U241" i="31"/>
  <c r="W241" i="31" a="1"/>
  <c r="W241" i="31"/>
  <c r="V241" i="31" a="1"/>
  <c r="V241" i="31"/>
  <c r="U240" i="31" a="1"/>
  <c r="U240" i="31"/>
  <c r="W240" i="31" a="1"/>
  <c r="W240" i="31"/>
  <c r="V240" i="31" a="1"/>
  <c r="V240" i="31"/>
  <c r="U239" i="31" a="1"/>
  <c r="U239" i="31"/>
  <c r="W239" i="31" a="1"/>
  <c r="W239" i="31"/>
  <c r="V239" i="31" a="1"/>
  <c r="V239" i="31"/>
  <c r="U238" i="31" a="1"/>
  <c r="U238" i="31"/>
  <c r="W238" i="31" a="1"/>
  <c r="W238" i="31"/>
  <c r="V238" i="31" a="1"/>
  <c r="V238" i="31"/>
  <c r="U237" i="31" a="1"/>
  <c r="U237" i="31"/>
  <c r="W237" i="31" a="1"/>
  <c r="W237" i="31"/>
  <c r="V237" i="31" a="1"/>
  <c r="V237" i="31"/>
  <c r="U236" i="31" a="1"/>
  <c r="U236" i="31"/>
  <c r="W236" i="31" a="1"/>
  <c r="W236" i="31"/>
  <c r="V236" i="31" a="1"/>
  <c r="V236" i="31"/>
  <c r="U235" i="31" a="1"/>
  <c r="U235" i="31"/>
  <c r="W235" i="31" a="1"/>
  <c r="W235" i="31"/>
  <c r="V235" i="31" a="1"/>
  <c r="V235" i="31"/>
  <c r="U234" i="31" a="1"/>
  <c r="U234" i="31"/>
  <c r="W234" i="31" a="1"/>
  <c r="W234" i="31"/>
  <c r="V234" i="31" a="1"/>
  <c r="V234" i="31"/>
  <c r="U233" i="31" a="1"/>
  <c r="U233" i="31"/>
  <c r="W233" i="31" a="1"/>
  <c r="W233" i="31"/>
  <c r="V233" i="31" a="1"/>
  <c r="V233" i="31"/>
  <c r="U232" i="31" a="1"/>
  <c r="U232" i="31"/>
  <c r="W232" i="31" a="1"/>
  <c r="W232" i="31"/>
  <c r="V232" i="31" a="1"/>
  <c r="V232" i="31"/>
  <c r="U231" i="31" a="1"/>
  <c r="U231" i="31"/>
  <c r="W231" i="31" a="1"/>
  <c r="W231" i="31"/>
  <c r="V231" i="31" a="1"/>
  <c r="V231" i="31"/>
  <c r="U230" i="31" a="1"/>
  <c r="U230" i="31"/>
  <c r="W230" i="31" a="1"/>
  <c r="W230" i="31"/>
  <c r="V230" i="31" a="1"/>
  <c r="V230" i="31"/>
  <c r="U229" i="31" a="1"/>
  <c r="U229" i="31"/>
  <c r="W229" i="31" a="1"/>
  <c r="W229" i="31"/>
  <c r="V229" i="31" a="1"/>
  <c r="V229" i="31"/>
  <c r="U228" i="31" a="1"/>
  <c r="U228" i="31"/>
  <c r="W228" i="31" a="1"/>
  <c r="W228" i="31"/>
  <c r="V228" i="31" a="1"/>
  <c r="V228" i="31"/>
  <c r="U227" i="31" a="1"/>
  <c r="U227" i="31"/>
  <c r="W227" i="31" a="1"/>
  <c r="W227" i="31"/>
  <c r="V227" i="31" a="1"/>
  <c r="V227" i="31"/>
  <c r="U226" i="31" a="1"/>
  <c r="U226" i="31"/>
  <c r="W226" i="31" a="1"/>
  <c r="W226" i="31"/>
  <c r="V226" i="31" a="1"/>
  <c r="V226" i="31"/>
  <c r="U225" i="31" a="1"/>
  <c r="U225" i="31"/>
  <c r="W225" i="31" a="1"/>
  <c r="W225" i="31"/>
  <c r="V225" i="31" a="1"/>
  <c r="V225" i="31"/>
  <c r="U224" i="31" a="1"/>
  <c r="U224" i="31"/>
  <c r="W224" i="31" a="1"/>
  <c r="W224" i="31"/>
  <c r="V224" i="31" a="1"/>
  <c r="V224" i="31"/>
  <c r="U223" i="31" a="1"/>
  <c r="U223" i="31"/>
  <c r="W223" i="31" a="1"/>
  <c r="W223" i="31"/>
  <c r="V223" i="31" a="1"/>
  <c r="V223" i="31"/>
  <c r="U222" i="31" a="1"/>
  <c r="U222" i="31"/>
  <c r="W222" i="31" a="1"/>
  <c r="W222" i="31"/>
  <c r="V222" i="31" a="1"/>
  <c r="V222" i="31"/>
  <c r="U221" i="31" a="1"/>
  <c r="U221" i="31"/>
  <c r="W221" i="31" a="1"/>
  <c r="W221" i="31"/>
  <c r="V221" i="31" a="1"/>
  <c r="V221" i="31"/>
  <c r="U220" i="31" a="1"/>
  <c r="U220" i="31"/>
  <c r="W220" i="31" a="1"/>
  <c r="W220" i="31"/>
  <c r="V220" i="31" a="1"/>
  <c r="V220" i="31"/>
  <c r="U219" i="31" a="1"/>
  <c r="U219" i="31"/>
  <c r="W219" i="31" a="1"/>
  <c r="W219" i="31"/>
  <c r="V219" i="31" a="1"/>
  <c r="V219" i="31"/>
  <c r="U218" i="31" a="1"/>
  <c r="U218" i="31"/>
  <c r="W218" i="31" a="1"/>
  <c r="W218" i="31"/>
  <c r="V218" i="31" a="1"/>
  <c r="V218" i="31"/>
  <c r="U217" i="31" a="1"/>
  <c r="U217" i="31"/>
  <c r="W217" i="31" a="1"/>
  <c r="W217" i="31"/>
  <c r="V217" i="31" a="1"/>
  <c r="V217" i="31"/>
  <c r="U216" i="31" a="1"/>
  <c r="U216" i="31"/>
  <c r="W216" i="31" a="1"/>
  <c r="W216" i="31"/>
  <c r="V216" i="31" a="1"/>
  <c r="V216" i="31"/>
  <c r="U215" i="31" a="1"/>
  <c r="U215" i="31"/>
  <c r="W215" i="31" a="1"/>
  <c r="W215" i="31"/>
  <c r="V215" i="31" a="1"/>
  <c r="V215" i="31"/>
  <c r="U214" i="31" a="1"/>
  <c r="U214" i="31"/>
  <c r="W214" i="31" a="1"/>
  <c r="W214" i="31"/>
  <c r="V214" i="31" a="1"/>
  <c r="V214" i="31"/>
  <c r="U213" i="31" a="1"/>
  <c r="U213" i="31"/>
  <c r="W213" i="31" a="1"/>
  <c r="W213" i="31"/>
  <c r="V213" i="31" a="1"/>
  <c r="V213" i="31"/>
  <c r="U212" i="31" a="1"/>
  <c r="U212" i="31"/>
  <c r="W212" i="31" a="1"/>
  <c r="W212" i="31"/>
  <c r="V212" i="31" a="1"/>
  <c r="V212" i="31"/>
  <c r="U211" i="31" a="1"/>
  <c r="U211" i="31"/>
  <c r="W211" i="31" a="1"/>
  <c r="W211" i="31"/>
  <c r="V211" i="31" a="1"/>
  <c r="V211" i="31"/>
  <c r="U210" i="31" a="1"/>
  <c r="U210" i="31"/>
  <c r="W210" i="31" a="1"/>
  <c r="W210" i="31"/>
  <c r="V210" i="31" a="1"/>
  <c r="V210" i="31"/>
  <c r="U209" i="31" a="1"/>
  <c r="U209" i="31"/>
  <c r="W209" i="31" a="1"/>
  <c r="W209" i="31"/>
  <c r="V209" i="31" a="1"/>
  <c r="V209" i="31"/>
  <c r="U208" i="31" a="1"/>
  <c r="U208" i="31"/>
  <c r="W208" i="31" a="1"/>
  <c r="W208" i="31"/>
  <c r="V208" i="31" a="1"/>
  <c r="V208" i="31"/>
  <c r="U207" i="31" a="1"/>
  <c r="U207" i="31"/>
  <c r="W207" i="31" a="1"/>
  <c r="W207" i="31"/>
  <c r="V207" i="31" a="1"/>
  <c r="V207" i="31"/>
  <c r="U206" i="31" a="1"/>
  <c r="U206" i="31"/>
  <c r="W206" i="31" a="1"/>
  <c r="W206" i="31"/>
  <c r="V206" i="31" a="1"/>
  <c r="V206" i="31"/>
  <c r="U205" i="31" a="1"/>
  <c r="U205" i="31"/>
  <c r="W205" i="31" a="1"/>
  <c r="W205" i="31"/>
  <c r="V205" i="31" a="1"/>
  <c r="V205" i="31"/>
  <c r="U204" i="31" a="1"/>
  <c r="U204" i="31"/>
  <c r="W204" i="31" a="1"/>
  <c r="W204" i="31"/>
  <c r="V204" i="31" a="1"/>
  <c r="V204" i="31"/>
  <c r="U203" i="31" a="1"/>
  <c r="U203" i="31"/>
  <c r="W203" i="31" a="1"/>
  <c r="W203" i="31"/>
  <c r="V203" i="31" a="1"/>
  <c r="V203" i="31"/>
  <c r="U202" i="31" a="1"/>
  <c r="U202" i="31"/>
  <c r="W202" i="31" a="1"/>
  <c r="W202" i="31"/>
  <c r="V202" i="31" a="1"/>
  <c r="V202" i="31"/>
  <c r="U201" i="31" a="1"/>
  <c r="U201" i="31"/>
  <c r="W201" i="31" a="1"/>
  <c r="W201" i="31"/>
  <c r="V201" i="31" a="1"/>
  <c r="V201" i="31"/>
  <c r="U200" i="31" a="1"/>
  <c r="U200" i="31"/>
  <c r="W200" i="31" a="1"/>
  <c r="W200" i="31"/>
  <c r="V200" i="31" a="1"/>
  <c r="V200" i="31"/>
  <c r="U199" i="31" a="1"/>
  <c r="U199" i="31"/>
  <c r="W199" i="31" a="1"/>
  <c r="W199" i="31"/>
  <c r="V199" i="31" a="1"/>
  <c r="V199" i="31"/>
  <c r="U198" i="31" a="1"/>
  <c r="U198" i="31"/>
  <c r="W198" i="31" a="1"/>
  <c r="W198" i="31"/>
  <c r="V198" i="31" a="1"/>
  <c r="V198" i="31"/>
  <c r="U197" i="31" a="1"/>
  <c r="U197" i="31"/>
  <c r="W197" i="31" a="1"/>
  <c r="W197" i="31"/>
  <c r="V197" i="31" a="1"/>
  <c r="V197" i="31"/>
  <c r="U196" i="31" a="1"/>
  <c r="U196" i="31"/>
  <c r="W196" i="31" a="1"/>
  <c r="W196" i="31"/>
  <c r="V196" i="31" a="1"/>
  <c r="V196" i="31"/>
  <c r="U195" i="31" a="1"/>
  <c r="U195" i="31"/>
  <c r="W195" i="31" a="1"/>
  <c r="W195" i="31"/>
  <c r="V195" i="31" a="1"/>
  <c r="V195" i="31"/>
  <c r="U194" i="31" a="1"/>
  <c r="U194" i="31"/>
  <c r="W194" i="31" a="1"/>
  <c r="W194" i="31"/>
  <c r="V194" i="31" a="1"/>
  <c r="V194" i="31"/>
  <c r="U193" i="31" a="1"/>
  <c r="U193" i="31"/>
  <c r="W193" i="31" a="1"/>
  <c r="W193" i="31"/>
  <c r="V193" i="31" a="1"/>
  <c r="V193" i="31"/>
  <c r="U192" i="31" a="1"/>
  <c r="U192" i="31"/>
  <c r="W192" i="31" a="1"/>
  <c r="W192" i="31"/>
  <c r="V192" i="31" a="1"/>
  <c r="V192" i="31"/>
  <c r="U191" i="31" a="1"/>
  <c r="U191" i="31"/>
  <c r="W191" i="31" a="1"/>
  <c r="W191" i="31"/>
  <c r="V191" i="31" a="1"/>
  <c r="V191" i="31"/>
  <c r="U190" i="31" a="1"/>
  <c r="U190" i="31"/>
  <c r="W190" i="31" a="1"/>
  <c r="W190" i="31"/>
  <c r="V190" i="31" a="1"/>
  <c r="V190" i="31"/>
  <c r="U189" i="31" a="1"/>
  <c r="U189" i="31"/>
  <c r="W189" i="31" a="1"/>
  <c r="W189" i="31"/>
  <c r="V189" i="31" a="1"/>
  <c r="V189" i="31"/>
  <c r="U188" i="31" a="1"/>
  <c r="U188" i="31"/>
  <c r="W188" i="31" a="1"/>
  <c r="W188" i="31"/>
  <c r="V188" i="31" a="1"/>
  <c r="V188" i="31"/>
  <c r="U187" i="31" a="1"/>
  <c r="U187" i="31"/>
  <c r="W187" i="31" a="1"/>
  <c r="W187" i="31"/>
  <c r="V187" i="31" a="1"/>
  <c r="V187" i="31"/>
  <c r="U186" i="31" a="1"/>
  <c r="U186" i="31"/>
  <c r="W186" i="31" a="1"/>
  <c r="W186" i="31"/>
  <c r="V186" i="31" a="1"/>
  <c r="V186" i="31"/>
  <c r="U185" i="31" a="1"/>
  <c r="U185" i="31"/>
  <c r="W185" i="31" a="1"/>
  <c r="W185" i="31"/>
  <c r="V185" i="31" a="1"/>
  <c r="V185" i="31"/>
  <c r="U184" i="31" a="1"/>
  <c r="U184" i="31"/>
  <c r="W184" i="31" a="1"/>
  <c r="W184" i="31"/>
  <c r="V184" i="31" a="1"/>
  <c r="V184" i="31"/>
  <c r="U183" i="31" a="1"/>
  <c r="U183" i="31"/>
  <c r="W183" i="31" a="1"/>
  <c r="W183" i="31"/>
  <c r="V183" i="31" a="1"/>
  <c r="V183" i="31"/>
  <c r="U182" i="31" a="1"/>
  <c r="U182" i="31"/>
  <c r="W182" i="31" a="1"/>
  <c r="W182" i="31"/>
  <c r="V182" i="31" a="1"/>
  <c r="V182" i="31"/>
  <c r="U181" i="31" a="1"/>
  <c r="U181" i="31"/>
  <c r="W181" i="31" a="1"/>
  <c r="W181" i="31"/>
  <c r="V181" i="31" a="1"/>
  <c r="V181" i="31"/>
  <c r="U180" i="31" a="1"/>
  <c r="U180" i="31"/>
  <c r="W180" i="31" a="1"/>
  <c r="W180" i="31"/>
  <c r="V180" i="31" a="1"/>
  <c r="V180" i="31"/>
  <c r="U179" i="31" a="1"/>
  <c r="U179" i="31"/>
  <c r="W179" i="31" a="1"/>
  <c r="W179" i="31"/>
  <c r="V179" i="31" a="1"/>
  <c r="V179" i="31"/>
  <c r="U178" i="31" a="1"/>
  <c r="U178" i="31"/>
  <c r="W178" i="31" a="1"/>
  <c r="W178" i="31"/>
  <c r="V178" i="31" a="1"/>
  <c r="V178" i="31"/>
  <c r="U177" i="31" a="1"/>
  <c r="U177" i="31"/>
  <c r="W177" i="31" a="1"/>
  <c r="W177" i="31"/>
  <c r="V177" i="31" a="1"/>
  <c r="V177" i="31"/>
  <c r="U176" i="31" a="1"/>
  <c r="U176" i="31"/>
  <c r="W176" i="31" a="1"/>
  <c r="W176" i="31"/>
  <c r="V176" i="31" a="1"/>
  <c r="V176" i="31"/>
  <c r="U175" i="31" a="1"/>
  <c r="U175" i="31"/>
  <c r="W175" i="31" a="1"/>
  <c r="W175" i="31"/>
  <c r="V175" i="31" a="1"/>
  <c r="V175" i="31"/>
  <c r="U174" i="31" a="1"/>
  <c r="U174" i="31"/>
  <c r="W174" i="31" a="1"/>
  <c r="W174" i="31"/>
  <c r="V174" i="31" a="1"/>
  <c r="V174" i="31"/>
  <c r="U173" i="31" a="1"/>
  <c r="U173" i="31"/>
  <c r="W173" i="31" a="1"/>
  <c r="W173" i="31"/>
  <c r="V173" i="31" a="1"/>
  <c r="V173" i="31"/>
  <c r="U172" i="31" a="1"/>
  <c r="U172" i="31"/>
  <c r="W172" i="31" a="1"/>
  <c r="W172" i="31"/>
  <c r="V172" i="31" a="1"/>
  <c r="V172" i="31"/>
  <c r="U171" i="31" a="1"/>
  <c r="U171" i="31"/>
  <c r="W171" i="31" a="1"/>
  <c r="W171" i="31"/>
  <c r="V171" i="31" a="1"/>
  <c r="V171" i="31"/>
  <c r="U170" i="31" a="1"/>
  <c r="U170" i="31"/>
  <c r="W170" i="31" a="1"/>
  <c r="W170" i="31"/>
  <c r="V170" i="31" a="1"/>
  <c r="V170" i="31"/>
  <c r="U169" i="31" a="1"/>
  <c r="U169" i="31"/>
  <c r="W169" i="31" a="1"/>
  <c r="W169" i="31"/>
  <c r="V169" i="31" a="1"/>
  <c r="V169" i="31"/>
  <c r="U168" i="31" a="1"/>
  <c r="U168" i="31"/>
  <c r="W168" i="31" a="1"/>
  <c r="W168" i="31"/>
  <c r="V168" i="31" a="1"/>
  <c r="V168" i="31"/>
  <c r="U167" i="31" a="1"/>
  <c r="U167" i="31"/>
  <c r="W167" i="31" a="1"/>
  <c r="W167" i="31"/>
  <c r="V167" i="31" a="1"/>
  <c r="V167" i="31"/>
  <c r="U166" i="31" a="1"/>
  <c r="U166" i="31"/>
  <c r="W166" i="31" a="1"/>
  <c r="W166" i="31"/>
  <c r="V166" i="31" a="1"/>
  <c r="V166" i="31"/>
  <c r="U165" i="31" a="1"/>
  <c r="U165" i="31"/>
  <c r="W165" i="31" a="1"/>
  <c r="W165" i="31"/>
  <c r="V165" i="31" a="1"/>
  <c r="V165" i="31"/>
  <c r="U164" i="31" a="1"/>
  <c r="U164" i="31"/>
  <c r="W164" i="31" a="1"/>
  <c r="W164" i="31"/>
  <c r="V164" i="31" a="1"/>
  <c r="V164" i="31"/>
  <c r="U163" i="31" a="1"/>
  <c r="U163" i="31"/>
  <c r="W163" i="31" a="1"/>
  <c r="W163" i="31"/>
  <c r="V163" i="31" a="1"/>
  <c r="V163" i="31"/>
  <c r="U162" i="31" a="1"/>
  <c r="U162" i="31"/>
  <c r="W162" i="31" a="1"/>
  <c r="W162" i="31"/>
  <c r="V162" i="31" a="1"/>
  <c r="V162" i="31"/>
  <c r="U161" i="31" a="1"/>
  <c r="U161" i="31"/>
  <c r="W161" i="31" a="1"/>
  <c r="W161" i="31"/>
  <c r="V161" i="31" a="1"/>
  <c r="V161" i="31"/>
  <c r="U160" i="31" a="1"/>
  <c r="U160" i="31"/>
  <c r="W160" i="31" a="1"/>
  <c r="W160" i="31"/>
  <c r="V160" i="31" a="1"/>
  <c r="V160" i="31"/>
  <c r="U159" i="31" a="1"/>
  <c r="U159" i="31"/>
  <c r="W159" i="31" a="1"/>
  <c r="W159" i="31"/>
  <c r="V159" i="31" a="1"/>
  <c r="V159" i="31"/>
  <c r="U158" i="31" a="1"/>
  <c r="U158" i="31"/>
  <c r="W158" i="31" a="1"/>
  <c r="W158" i="31"/>
  <c r="V158" i="31" a="1"/>
  <c r="V158" i="31"/>
  <c r="U157" i="31" a="1"/>
  <c r="U157" i="31"/>
  <c r="W157" i="31" a="1"/>
  <c r="W157" i="31"/>
  <c r="V157" i="31" a="1"/>
  <c r="V157" i="31"/>
  <c r="U156" i="31" a="1"/>
  <c r="U156" i="31"/>
  <c r="W156" i="31" a="1"/>
  <c r="W156" i="31"/>
  <c r="V156" i="31" a="1"/>
  <c r="V156" i="31"/>
  <c r="U155" i="31" a="1"/>
  <c r="U155" i="31"/>
  <c r="W155" i="31" a="1"/>
  <c r="W155" i="31"/>
  <c r="V155" i="31" a="1"/>
  <c r="V155" i="31"/>
  <c r="U154" i="31" a="1"/>
  <c r="U154" i="31"/>
  <c r="W154" i="31" a="1"/>
  <c r="W154" i="31"/>
  <c r="V154" i="31" a="1"/>
  <c r="V154" i="31"/>
  <c r="U153" i="31" a="1"/>
  <c r="U153" i="31"/>
  <c r="W153" i="31" a="1"/>
  <c r="W153" i="31"/>
  <c r="V153" i="31" a="1"/>
  <c r="V153" i="31"/>
  <c r="U152" i="31" a="1"/>
  <c r="U152" i="31"/>
  <c r="W152" i="31" a="1"/>
  <c r="W152" i="31"/>
  <c r="V152" i="31" a="1"/>
  <c r="V152" i="31"/>
  <c r="U151" i="31" a="1"/>
  <c r="U151" i="31"/>
  <c r="W151" i="31" a="1"/>
  <c r="W151" i="31"/>
  <c r="V151" i="31" a="1"/>
  <c r="V151" i="31"/>
  <c r="U150" i="31" a="1"/>
  <c r="U150" i="31"/>
  <c r="W150" i="31" a="1"/>
  <c r="W150" i="31"/>
  <c r="V150" i="31" a="1"/>
  <c r="V150" i="31"/>
  <c r="U149" i="31" a="1"/>
  <c r="U149" i="31"/>
  <c r="W149" i="31" a="1"/>
  <c r="W149" i="31"/>
  <c r="V149" i="31" a="1"/>
  <c r="V149" i="31"/>
  <c r="U148" i="31" a="1"/>
  <c r="U148" i="31"/>
  <c r="W148" i="31" a="1"/>
  <c r="W148" i="31"/>
  <c r="V148" i="31" a="1"/>
  <c r="V148" i="31"/>
  <c r="U147" i="31" a="1"/>
  <c r="U147" i="31"/>
  <c r="W147" i="31" a="1"/>
  <c r="W147" i="31"/>
  <c r="V147" i="31" a="1"/>
  <c r="V147" i="31"/>
  <c r="U146" i="31" a="1"/>
  <c r="U146" i="31"/>
  <c r="W146" i="31" a="1"/>
  <c r="W146" i="31"/>
  <c r="V146" i="31" a="1"/>
  <c r="V146" i="31"/>
  <c r="U145" i="31" a="1"/>
  <c r="U145" i="31"/>
  <c r="W145" i="31" a="1"/>
  <c r="W145" i="31"/>
  <c r="V145" i="31" a="1"/>
  <c r="V145" i="31"/>
  <c r="U144" i="31" a="1"/>
  <c r="U144" i="31"/>
  <c r="W144" i="31" a="1"/>
  <c r="W144" i="31"/>
  <c r="V144" i="31" a="1"/>
  <c r="V144" i="31"/>
  <c r="U143" i="31" a="1"/>
  <c r="U143" i="31"/>
  <c r="W143" i="31" a="1"/>
  <c r="W143" i="31"/>
  <c r="V143" i="31" a="1"/>
  <c r="V143" i="31"/>
  <c r="U142" i="31" a="1"/>
  <c r="U142" i="31"/>
  <c r="W142" i="31" a="1"/>
  <c r="W142" i="31"/>
  <c r="V142" i="31" a="1"/>
  <c r="V142" i="31"/>
  <c r="U141" i="31" a="1"/>
  <c r="U141" i="31"/>
  <c r="W141" i="31" a="1"/>
  <c r="W141" i="31"/>
  <c r="V141" i="31" a="1"/>
  <c r="V141" i="31"/>
  <c r="U140" i="31" a="1"/>
  <c r="U140" i="31"/>
  <c r="W140" i="31" a="1"/>
  <c r="W140" i="31"/>
  <c r="V140" i="31" a="1"/>
  <c r="V140" i="31"/>
  <c r="U139" i="31" a="1"/>
  <c r="U139" i="31"/>
  <c r="W139" i="31" a="1"/>
  <c r="W139" i="31"/>
  <c r="V139" i="31" a="1"/>
  <c r="V139" i="31"/>
  <c r="U138" i="31" a="1"/>
  <c r="U138" i="31"/>
  <c r="W138" i="31" a="1"/>
  <c r="W138" i="31"/>
  <c r="V138" i="31" a="1"/>
  <c r="V138" i="31"/>
  <c r="U137" i="31" a="1"/>
  <c r="U137" i="31"/>
  <c r="W137" i="31" a="1"/>
  <c r="W137" i="31"/>
  <c r="V137" i="31" a="1"/>
  <c r="V137" i="31"/>
  <c r="U136" i="31" a="1"/>
  <c r="U136" i="31"/>
  <c r="W136" i="31" a="1"/>
  <c r="W136" i="31"/>
  <c r="V136" i="31" a="1"/>
  <c r="V136" i="31"/>
  <c r="U135" i="31" a="1"/>
  <c r="U135" i="31"/>
  <c r="W135" i="31" a="1"/>
  <c r="W135" i="31"/>
  <c r="V135" i="31" a="1"/>
  <c r="V135" i="31"/>
  <c r="U134" i="31" a="1"/>
  <c r="U134" i="31"/>
  <c r="W134" i="31" a="1"/>
  <c r="W134" i="31"/>
  <c r="V134" i="31" a="1"/>
  <c r="V134" i="31"/>
  <c r="U133" i="31" a="1"/>
  <c r="U133" i="31"/>
  <c r="W133" i="31" a="1"/>
  <c r="W133" i="31"/>
  <c r="V133" i="31" a="1"/>
  <c r="V133" i="31"/>
  <c r="U132" i="31" a="1"/>
  <c r="U132" i="31"/>
  <c r="W132" i="31" a="1"/>
  <c r="W132" i="31"/>
  <c r="V132" i="31" a="1"/>
  <c r="V132" i="31"/>
  <c r="U131" i="31" a="1"/>
  <c r="U131" i="31"/>
  <c r="W131" i="31" a="1"/>
  <c r="W131" i="31"/>
  <c r="V131" i="31" a="1"/>
  <c r="V131" i="31"/>
  <c r="U130" i="31" a="1"/>
  <c r="U130" i="31"/>
  <c r="W130" i="31" a="1"/>
  <c r="W130" i="31"/>
  <c r="V130" i="31" a="1"/>
  <c r="V130" i="31"/>
  <c r="U129" i="31" a="1"/>
  <c r="U129" i="31"/>
  <c r="W129" i="31" a="1"/>
  <c r="W129" i="31"/>
  <c r="V129" i="31" a="1"/>
  <c r="V129" i="31"/>
  <c r="U128" i="31" a="1"/>
  <c r="U128" i="31"/>
  <c r="W128" i="31" a="1"/>
  <c r="W128" i="31"/>
  <c r="V128" i="31" a="1"/>
  <c r="V128" i="31"/>
  <c r="U127" i="31" a="1"/>
  <c r="U127" i="31"/>
  <c r="W127" i="31" a="1"/>
  <c r="W127" i="31"/>
  <c r="V127" i="31" a="1"/>
  <c r="V127" i="31"/>
  <c r="U126" i="31" a="1"/>
  <c r="U126" i="31"/>
  <c r="W126" i="31" a="1"/>
  <c r="W126" i="31"/>
  <c r="V126" i="31" a="1"/>
  <c r="V126" i="31"/>
  <c r="U125" i="31" a="1"/>
  <c r="U125" i="31"/>
  <c r="W125" i="31" a="1"/>
  <c r="W125" i="31"/>
  <c r="V125" i="31" a="1"/>
  <c r="V125" i="31"/>
  <c r="U124" i="31" a="1"/>
  <c r="U124" i="31"/>
  <c r="W124" i="31" a="1"/>
  <c r="W124" i="31"/>
  <c r="V124" i="31" a="1"/>
  <c r="V124" i="31"/>
  <c r="U123" i="31" a="1"/>
  <c r="U123" i="31"/>
  <c r="W123" i="31" a="1"/>
  <c r="W123" i="31"/>
  <c r="V123" i="31" a="1"/>
  <c r="V123" i="31"/>
  <c r="U122" i="31" a="1"/>
  <c r="U122" i="31"/>
  <c r="W122" i="31" a="1"/>
  <c r="W122" i="31"/>
  <c r="V122" i="31" a="1"/>
  <c r="V122" i="31"/>
  <c r="U121" i="31" a="1"/>
  <c r="U121" i="31"/>
  <c r="W121" i="31" a="1"/>
  <c r="W121" i="31"/>
  <c r="V121" i="31" a="1"/>
  <c r="V121" i="31"/>
  <c r="U120" i="31" a="1"/>
  <c r="U120" i="31"/>
  <c r="W120" i="31" a="1"/>
  <c r="W120" i="31"/>
  <c r="V120" i="31" a="1"/>
  <c r="V120" i="31"/>
  <c r="U119" i="31" a="1"/>
  <c r="U119" i="31"/>
  <c r="W119" i="31" a="1"/>
  <c r="W119" i="31"/>
  <c r="V119" i="31" a="1"/>
  <c r="V119" i="31"/>
  <c r="U118" i="31" a="1"/>
  <c r="U118" i="31"/>
  <c r="W118" i="31" a="1"/>
  <c r="W118" i="31"/>
  <c r="V118" i="31" a="1"/>
  <c r="V118" i="31"/>
  <c r="U117" i="31" a="1"/>
  <c r="U117" i="31"/>
  <c r="W117" i="31" a="1"/>
  <c r="W117" i="31"/>
  <c r="V117" i="31" a="1"/>
  <c r="V117" i="31"/>
  <c r="U116" i="31" a="1"/>
  <c r="U116" i="31"/>
  <c r="W116" i="31" a="1"/>
  <c r="W116" i="31"/>
  <c r="V116" i="31" a="1"/>
  <c r="V116" i="31"/>
  <c r="U115" i="31" a="1"/>
  <c r="U115" i="31"/>
  <c r="W115" i="31" a="1"/>
  <c r="W115" i="31"/>
  <c r="V115" i="31" a="1"/>
  <c r="V115" i="31"/>
  <c r="U114" i="31" a="1"/>
  <c r="U114" i="31"/>
  <c r="W114" i="31" a="1"/>
  <c r="W114" i="31"/>
  <c r="V114" i="31" a="1"/>
  <c r="V114" i="31"/>
  <c r="U113" i="31" a="1"/>
  <c r="U113" i="31"/>
  <c r="W113" i="31" a="1"/>
  <c r="W113" i="31"/>
  <c r="V113" i="31" a="1"/>
  <c r="V113" i="31"/>
  <c r="U112" i="31" a="1"/>
  <c r="U112" i="31"/>
  <c r="W112" i="31" a="1"/>
  <c r="W112" i="31"/>
  <c r="V112" i="31" a="1"/>
  <c r="V112" i="31"/>
  <c r="U111" i="31" a="1"/>
  <c r="U111" i="31"/>
  <c r="W111" i="31" a="1"/>
  <c r="W111" i="31"/>
  <c r="V111" i="31" a="1"/>
  <c r="V111" i="31"/>
  <c r="U110" i="31" a="1"/>
  <c r="U110" i="31"/>
  <c r="W110" i="31" a="1"/>
  <c r="W110" i="31"/>
  <c r="V110" i="31" a="1"/>
  <c r="V110" i="31"/>
  <c r="U109" i="31" a="1"/>
  <c r="U109" i="31"/>
  <c r="W109" i="31" a="1"/>
  <c r="W109" i="31"/>
  <c r="V109" i="31" a="1"/>
  <c r="V109" i="31"/>
  <c r="U108" i="31" a="1"/>
  <c r="U108" i="31"/>
  <c r="W108" i="31" a="1"/>
  <c r="W108" i="31"/>
  <c r="V108" i="31" a="1"/>
  <c r="V108" i="31"/>
  <c r="U107" i="31" a="1"/>
  <c r="U107" i="31"/>
  <c r="W107" i="31" a="1"/>
  <c r="W107" i="31"/>
  <c r="V107" i="31" a="1"/>
  <c r="V107" i="31"/>
  <c r="U106" i="31" a="1"/>
  <c r="U106" i="31"/>
  <c r="W106" i="31" a="1"/>
  <c r="W106" i="31"/>
  <c r="V106" i="31" a="1"/>
  <c r="V106" i="31"/>
  <c r="U105" i="31" a="1"/>
  <c r="U105" i="31"/>
  <c r="W105" i="31" a="1"/>
  <c r="W105" i="31"/>
  <c r="V105" i="31" a="1"/>
  <c r="V105" i="31"/>
  <c r="U104" i="31" a="1"/>
  <c r="U104" i="31"/>
  <c r="W104" i="31" a="1"/>
  <c r="W104" i="31"/>
  <c r="V104" i="31" a="1"/>
  <c r="V104" i="31"/>
  <c r="U103" i="31" a="1"/>
  <c r="U103" i="31"/>
  <c r="W103" i="31" a="1"/>
  <c r="W103" i="31"/>
  <c r="V103" i="31" a="1"/>
  <c r="V103" i="31"/>
  <c r="U102" i="31" a="1"/>
  <c r="U102" i="31"/>
  <c r="W102" i="31" a="1"/>
  <c r="W102" i="31"/>
  <c r="V102" i="31" a="1"/>
  <c r="V102" i="31"/>
  <c r="U101" i="31" a="1"/>
  <c r="U101" i="31"/>
  <c r="W101" i="31" a="1"/>
  <c r="W101" i="31"/>
  <c r="V101" i="31" a="1"/>
  <c r="V101" i="31"/>
  <c r="U100" i="31" a="1"/>
  <c r="U100" i="31"/>
  <c r="W100" i="31" a="1"/>
  <c r="W100" i="31"/>
  <c r="V100" i="31" a="1"/>
  <c r="V100" i="31"/>
  <c r="U99" i="31" a="1"/>
  <c r="U99" i="31"/>
  <c r="W99" i="31" a="1"/>
  <c r="W99" i="31"/>
  <c r="V99" i="31" a="1"/>
  <c r="V99" i="31"/>
  <c r="U98" i="31" a="1"/>
  <c r="U98" i="31"/>
  <c r="W98" i="31" a="1"/>
  <c r="W98" i="31"/>
  <c r="V98" i="31" a="1"/>
  <c r="V98" i="31"/>
  <c r="U97" i="31" a="1"/>
  <c r="U97" i="31"/>
  <c r="W97" i="31" a="1"/>
  <c r="W97" i="31"/>
  <c r="V97" i="31" a="1"/>
  <c r="V97" i="31"/>
  <c r="U96" i="31" a="1"/>
  <c r="U96" i="31"/>
  <c r="W96" i="31" a="1"/>
  <c r="W96" i="31"/>
  <c r="V96" i="31" a="1"/>
  <c r="V96" i="31"/>
  <c r="U95" i="31" a="1"/>
  <c r="U95" i="31"/>
  <c r="W95" i="31" a="1"/>
  <c r="W95" i="31"/>
  <c r="V95" i="31" a="1"/>
  <c r="V95" i="31"/>
  <c r="U94" i="31" a="1"/>
  <c r="U94" i="31"/>
  <c r="W94" i="31" a="1"/>
  <c r="W94" i="31"/>
  <c r="V94" i="31" a="1"/>
  <c r="V94" i="31"/>
  <c r="U93" i="31" a="1"/>
  <c r="U93" i="31"/>
  <c r="W93" i="31" a="1"/>
  <c r="W93" i="31"/>
  <c r="V93" i="31" a="1"/>
  <c r="V93" i="31"/>
  <c r="U92" i="31" a="1"/>
  <c r="U92" i="31"/>
  <c r="W92" i="31" a="1"/>
  <c r="W92" i="31"/>
  <c r="V92" i="31" a="1"/>
  <c r="V92" i="31"/>
  <c r="U91" i="31" a="1"/>
  <c r="U91" i="31"/>
  <c r="W91" i="31" a="1"/>
  <c r="W91" i="31"/>
  <c r="V91" i="31" a="1"/>
  <c r="V91" i="31"/>
  <c r="U90" i="31" a="1"/>
  <c r="U90" i="31"/>
  <c r="W90" i="31" a="1"/>
  <c r="W90" i="31"/>
  <c r="V90" i="31" a="1"/>
  <c r="V90" i="31"/>
  <c r="U89" i="31" a="1"/>
  <c r="U89" i="31"/>
  <c r="W89" i="31" a="1"/>
  <c r="W89" i="31"/>
  <c r="V89" i="31" a="1"/>
  <c r="V89" i="31"/>
  <c r="U88" i="31" a="1"/>
  <c r="U88" i="31"/>
  <c r="W88" i="31" a="1"/>
  <c r="W88" i="31"/>
  <c r="V88" i="31" a="1"/>
  <c r="V88" i="31"/>
  <c r="U87" i="31" a="1"/>
  <c r="U87" i="31"/>
  <c r="W87" i="31" a="1"/>
  <c r="W87" i="31"/>
  <c r="V87" i="31" a="1"/>
  <c r="V87" i="31"/>
  <c r="U86" i="31" a="1"/>
  <c r="U86" i="31"/>
  <c r="W86" i="31" a="1"/>
  <c r="W86" i="31"/>
  <c r="V86" i="31" a="1"/>
  <c r="V86" i="31"/>
  <c r="U85" i="31" a="1"/>
  <c r="U85" i="31"/>
  <c r="W85" i="31" a="1"/>
  <c r="W85" i="31"/>
  <c r="V85" i="31" a="1"/>
  <c r="V85" i="31"/>
  <c r="U84" i="31" a="1"/>
  <c r="U84" i="31"/>
  <c r="W84" i="31" a="1"/>
  <c r="W84" i="31"/>
  <c r="V84" i="31" a="1"/>
  <c r="V84" i="31"/>
  <c r="U83" i="31" a="1"/>
  <c r="U83" i="31"/>
  <c r="W83" i="31" a="1"/>
  <c r="W83" i="31"/>
  <c r="V83" i="31" a="1"/>
  <c r="V83" i="31"/>
  <c r="U82" i="31" a="1"/>
  <c r="U82" i="31"/>
  <c r="W82" i="31" a="1"/>
  <c r="W82" i="31"/>
  <c r="V82" i="31" a="1"/>
  <c r="V82" i="31"/>
  <c r="U81" i="31" a="1"/>
  <c r="U81" i="31"/>
  <c r="W81" i="31" a="1"/>
  <c r="W81" i="31"/>
  <c r="V81" i="31" a="1"/>
  <c r="V81" i="31"/>
  <c r="U80" i="31" a="1"/>
  <c r="U80" i="31"/>
  <c r="W80" i="31" a="1"/>
  <c r="W80" i="31"/>
  <c r="V80" i="31" a="1"/>
  <c r="V80" i="31"/>
  <c r="U79" i="31" a="1"/>
  <c r="U79" i="31"/>
  <c r="W79" i="31" a="1"/>
  <c r="W79" i="31"/>
  <c r="V79" i="31" a="1"/>
  <c r="V79" i="31"/>
  <c r="U78" i="31" a="1"/>
  <c r="U78" i="31"/>
  <c r="W78" i="31" a="1"/>
  <c r="W78" i="31"/>
  <c r="V78" i="31" a="1"/>
  <c r="V78" i="31"/>
  <c r="U77" i="31" a="1"/>
  <c r="U77" i="31"/>
  <c r="W77" i="31" a="1"/>
  <c r="W77" i="31"/>
  <c r="V77" i="31" a="1"/>
  <c r="V77" i="31"/>
  <c r="U76" i="31" a="1"/>
  <c r="U76" i="31"/>
  <c r="W76" i="31" a="1"/>
  <c r="W76" i="31"/>
  <c r="V76" i="31" a="1"/>
  <c r="V76" i="31"/>
  <c r="U75" i="31" a="1"/>
  <c r="U75" i="31"/>
  <c r="W75" i="31" a="1"/>
  <c r="W75" i="31"/>
  <c r="V75" i="31" a="1"/>
  <c r="V75" i="31"/>
  <c r="U74" i="31" a="1"/>
  <c r="U74" i="31"/>
  <c r="W74" i="31" a="1"/>
  <c r="W74" i="31"/>
  <c r="V74" i="31" a="1"/>
  <c r="V74" i="31"/>
  <c r="U73" i="31" a="1"/>
  <c r="U73" i="31"/>
  <c r="W73" i="31" a="1"/>
  <c r="W73" i="31"/>
  <c r="V73" i="31" a="1"/>
  <c r="V73" i="31"/>
  <c r="U72" i="31" a="1"/>
  <c r="U72" i="31"/>
  <c r="W72" i="31" a="1"/>
  <c r="W72" i="31"/>
  <c r="V72" i="31" a="1"/>
  <c r="V72" i="31"/>
  <c r="U71" i="31" a="1"/>
  <c r="U71" i="31"/>
  <c r="W71" i="31" a="1"/>
  <c r="W71" i="31"/>
  <c r="V71" i="31" a="1"/>
  <c r="V71" i="31"/>
  <c r="U70" i="31" a="1"/>
  <c r="U70" i="31"/>
  <c r="W70" i="31" a="1"/>
  <c r="W70" i="31"/>
  <c r="V70" i="31" a="1"/>
  <c r="V70" i="31"/>
  <c r="U69" i="31" a="1"/>
  <c r="U69" i="31"/>
  <c r="W69" i="31" a="1"/>
  <c r="W69" i="31"/>
  <c r="V69" i="31" a="1"/>
  <c r="V69" i="31"/>
  <c r="U68" i="31" a="1"/>
  <c r="U68" i="31"/>
  <c r="W68" i="31" a="1"/>
  <c r="W68" i="31"/>
  <c r="V68" i="31" a="1"/>
  <c r="V68" i="31"/>
  <c r="U67" i="31" a="1"/>
  <c r="U67" i="31"/>
  <c r="W67" i="31" a="1"/>
  <c r="W67" i="31"/>
  <c r="V67" i="31" a="1"/>
  <c r="V67" i="31"/>
  <c r="U66" i="31" a="1"/>
  <c r="U66" i="31"/>
  <c r="W66" i="31" a="1"/>
  <c r="W66" i="31"/>
  <c r="V66" i="31" a="1"/>
  <c r="V66" i="31"/>
  <c r="U65" i="31" a="1"/>
  <c r="U65" i="31"/>
  <c r="W65" i="31" a="1"/>
  <c r="W65" i="31"/>
  <c r="V65" i="31" a="1"/>
  <c r="V65" i="31"/>
  <c r="U64" i="31" a="1"/>
  <c r="U64" i="31"/>
  <c r="W64" i="31" a="1"/>
  <c r="W64" i="31"/>
  <c r="V64" i="31" a="1"/>
  <c r="V64" i="31"/>
  <c r="U63" i="31" a="1"/>
  <c r="U63" i="31"/>
  <c r="W63" i="31" a="1"/>
  <c r="W63" i="31"/>
  <c r="V63" i="31" a="1"/>
  <c r="V63" i="31"/>
  <c r="U62" i="31" a="1"/>
  <c r="U62" i="31"/>
  <c r="W62" i="31" a="1"/>
  <c r="W62" i="31"/>
  <c r="V62" i="31" a="1"/>
  <c r="V62" i="31"/>
  <c r="U61" i="31" a="1"/>
  <c r="U61" i="31"/>
  <c r="W61" i="31" a="1"/>
  <c r="W61" i="31"/>
  <c r="V61" i="31" a="1"/>
  <c r="V61" i="31"/>
  <c r="U60" i="31" a="1"/>
  <c r="U60" i="31"/>
  <c r="W60" i="31" a="1"/>
  <c r="W60" i="31"/>
  <c r="V60" i="31" a="1"/>
  <c r="V60" i="31"/>
  <c r="U59" i="31" a="1"/>
  <c r="U59" i="31"/>
  <c r="W59" i="31" a="1"/>
  <c r="W59" i="31"/>
  <c r="V59" i="31" a="1"/>
  <c r="V59" i="31"/>
  <c r="U58" i="31" a="1"/>
  <c r="U58" i="31"/>
  <c r="W58" i="31" a="1"/>
  <c r="W58" i="31"/>
  <c r="V58" i="31" a="1"/>
  <c r="V58" i="31"/>
  <c r="U57" i="31" a="1"/>
  <c r="U57" i="31"/>
  <c r="W57" i="31" a="1"/>
  <c r="W57" i="31"/>
  <c r="V57" i="31" a="1"/>
  <c r="V57" i="31"/>
  <c r="U56" i="31" a="1"/>
  <c r="U56" i="31"/>
  <c r="W56" i="31" a="1"/>
  <c r="W56" i="31"/>
  <c r="V56" i="31" a="1"/>
  <c r="V56" i="31"/>
  <c r="U55" i="31" a="1"/>
  <c r="U55" i="31"/>
  <c r="W55" i="31" a="1"/>
  <c r="W55" i="31"/>
  <c r="V55" i="31" a="1"/>
  <c r="V55" i="31"/>
  <c r="U54" i="31" a="1"/>
  <c r="U54" i="31"/>
  <c r="W54" i="31" a="1"/>
  <c r="W54" i="31"/>
  <c r="V54" i="31" a="1"/>
  <c r="V54" i="31"/>
  <c r="U53" i="31" a="1"/>
  <c r="U53" i="31"/>
  <c r="W53" i="31" a="1"/>
  <c r="W53" i="31"/>
  <c r="V53" i="31" a="1"/>
  <c r="V53" i="31"/>
  <c r="U52" i="31" a="1"/>
  <c r="U52" i="31"/>
  <c r="W52" i="31" a="1"/>
  <c r="W52" i="31"/>
  <c r="V52" i="31" a="1"/>
  <c r="V52" i="31"/>
  <c r="U51" i="31" a="1"/>
  <c r="U51" i="31"/>
  <c r="W51" i="31" a="1"/>
  <c r="W51" i="31"/>
  <c r="V51" i="31" a="1"/>
  <c r="V51" i="31"/>
  <c r="U50" i="31" a="1"/>
  <c r="U50" i="31"/>
  <c r="W50" i="31" a="1"/>
  <c r="W50" i="31"/>
  <c r="V50" i="31" a="1"/>
  <c r="V50" i="31"/>
  <c r="U49" i="31" a="1"/>
  <c r="U49" i="31"/>
  <c r="W49" i="31" a="1"/>
  <c r="W49" i="31"/>
  <c r="V49" i="31" a="1"/>
  <c r="V49" i="31"/>
  <c r="U48" i="31" a="1"/>
  <c r="U48" i="31"/>
  <c r="W48" i="31" a="1"/>
  <c r="W48" i="31"/>
  <c r="V48" i="31" a="1"/>
  <c r="V48" i="31"/>
  <c r="U47" i="31" a="1"/>
  <c r="U47" i="31"/>
  <c r="W47" i="31" a="1"/>
  <c r="W47" i="31"/>
  <c r="V47" i="31" a="1"/>
  <c r="V47" i="31"/>
  <c r="U46" i="31" a="1"/>
  <c r="U46" i="31"/>
  <c r="W46" i="31" a="1"/>
  <c r="W46" i="31"/>
  <c r="V46" i="31" a="1"/>
  <c r="V46" i="31"/>
  <c r="U45" i="31" a="1"/>
  <c r="U45" i="31"/>
  <c r="W45" i="31" a="1"/>
  <c r="W45" i="31"/>
  <c r="V45" i="31" a="1"/>
  <c r="V45" i="31"/>
  <c r="U44" i="31" a="1"/>
  <c r="U44" i="31"/>
  <c r="W44" i="31" a="1"/>
  <c r="W44" i="31"/>
  <c r="V44" i="31" a="1"/>
  <c r="V44" i="31"/>
  <c r="U43" i="31" a="1"/>
  <c r="U43" i="31"/>
  <c r="W43" i="31" a="1"/>
  <c r="W43" i="31"/>
  <c r="V43" i="31" a="1"/>
  <c r="V43" i="31"/>
  <c r="U42" i="31" a="1"/>
  <c r="U42" i="31"/>
  <c r="W42" i="31" a="1"/>
  <c r="W42" i="31"/>
  <c r="V42" i="31" a="1"/>
  <c r="V42" i="31"/>
  <c r="U41" i="31" a="1"/>
  <c r="U41" i="31"/>
  <c r="W41" i="31" a="1"/>
  <c r="W41" i="31"/>
  <c r="V41" i="31" a="1"/>
  <c r="V41" i="31"/>
  <c r="U40" i="31" a="1"/>
  <c r="U40" i="31"/>
  <c r="W40" i="31" a="1"/>
  <c r="W40" i="31"/>
  <c r="V40" i="31" a="1"/>
  <c r="V40" i="31"/>
  <c r="U39" i="31" a="1"/>
  <c r="U39" i="31"/>
  <c r="W39" i="31" a="1"/>
  <c r="W39" i="31"/>
  <c r="V39" i="31" a="1"/>
  <c r="V39" i="31"/>
  <c r="U38" i="31" a="1"/>
  <c r="U38" i="31"/>
  <c r="W38" i="31" a="1"/>
  <c r="W38" i="31"/>
  <c r="V38" i="31" a="1"/>
  <c r="V38" i="31"/>
  <c r="U37" i="31" a="1"/>
  <c r="U37" i="31"/>
  <c r="W37" i="31" a="1"/>
  <c r="W37" i="31"/>
  <c r="V37" i="31" a="1"/>
  <c r="V37" i="31"/>
  <c r="U36" i="31" a="1"/>
  <c r="U36" i="31"/>
  <c r="W36" i="31" a="1"/>
  <c r="W36" i="31"/>
  <c r="V36" i="31" a="1"/>
  <c r="V36" i="31"/>
  <c r="U35" i="31" a="1"/>
  <c r="U35" i="31"/>
  <c r="W35" i="31" a="1"/>
  <c r="W35" i="31"/>
  <c r="V35" i="31" a="1"/>
  <c r="V35" i="31"/>
  <c r="U34" i="31" a="1"/>
  <c r="U34" i="31"/>
  <c r="W34" i="31" a="1"/>
  <c r="W34" i="31"/>
  <c r="V34" i="31" a="1"/>
  <c r="V34" i="31"/>
  <c r="U33" i="31" a="1"/>
  <c r="U33" i="31"/>
  <c r="W33" i="31" a="1"/>
  <c r="W33" i="31"/>
  <c r="V33" i="31" a="1"/>
  <c r="V33" i="31"/>
  <c r="U32" i="31" a="1"/>
  <c r="U32" i="31"/>
  <c r="W32" i="31" a="1"/>
  <c r="W32" i="31"/>
  <c r="V32" i="31" a="1"/>
  <c r="V32" i="31"/>
  <c r="U31" i="31" a="1"/>
  <c r="U31" i="31"/>
  <c r="W31" i="31" a="1"/>
  <c r="W31" i="31"/>
  <c r="V31" i="31" a="1"/>
  <c r="V31" i="31"/>
  <c r="U30" i="31" a="1"/>
  <c r="U30" i="31"/>
  <c r="W30" i="31" a="1"/>
  <c r="W30" i="31"/>
  <c r="V30" i="31" a="1"/>
  <c r="V30" i="31"/>
  <c r="U29" i="31" a="1"/>
  <c r="U29" i="31"/>
  <c r="W29" i="31" a="1"/>
  <c r="W29" i="31"/>
  <c r="V29" i="31" a="1"/>
  <c r="V29" i="31"/>
  <c r="U28" i="31" a="1"/>
  <c r="U28" i="31"/>
  <c r="W28" i="31" a="1"/>
  <c r="W28" i="31"/>
  <c r="V28" i="31" a="1"/>
  <c r="V28" i="31"/>
  <c r="U27" i="31" a="1"/>
  <c r="U27" i="31"/>
  <c r="W27" i="31" a="1"/>
  <c r="W27" i="31"/>
  <c r="V27" i="31" a="1"/>
  <c r="V27" i="31"/>
  <c r="U26" i="31" a="1"/>
  <c r="U26" i="31"/>
  <c r="W26" i="31" a="1"/>
  <c r="W26" i="31"/>
  <c r="V26" i="31" a="1"/>
  <c r="V26" i="31"/>
  <c r="U25" i="31" a="1"/>
  <c r="U25" i="31"/>
  <c r="W25" i="31" a="1"/>
  <c r="W25" i="31"/>
  <c r="V25" i="31" a="1"/>
  <c r="V25" i="31"/>
  <c r="U24" i="31" a="1"/>
  <c r="U24" i="31"/>
  <c r="W24" i="31" a="1"/>
  <c r="W24" i="31"/>
  <c r="V24" i="31" a="1"/>
  <c r="V24" i="31"/>
  <c r="U23" i="31" a="1"/>
  <c r="U23" i="31"/>
  <c r="W23" i="31" a="1"/>
  <c r="W23" i="31"/>
  <c r="V23" i="31" a="1"/>
  <c r="V23" i="31"/>
  <c r="U22" i="31" a="1"/>
  <c r="U22" i="31"/>
  <c r="W22" i="31" a="1"/>
  <c r="W22" i="31"/>
  <c r="V22" i="31" a="1"/>
  <c r="V22" i="31"/>
  <c r="U21" i="31" a="1"/>
  <c r="U21" i="31"/>
  <c r="W21" i="31" a="1"/>
  <c r="W21" i="31"/>
  <c r="V21" i="31" a="1"/>
  <c r="V21" i="31"/>
  <c r="U20" i="31" a="1"/>
  <c r="U20" i="31"/>
  <c r="W20" i="31" a="1"/>
  <c r="W20" i="31"/>
  <c r="V20" i="31" a="1"/>
  <c r="V20" i="31"/>
  <c r="U19" i="31" a="1"/>
  <c r="U19" i="31"/>
  <c r="W19" i="31" a="1"/>
  <c r="W19" i="31"/>
  <c r="V19" i="31" a="1"/>
  <c r="V19" i="31"/>
  <c r="U18" i="31" a="1"/>
  <c r="U18" i="31"/>
  <c r="W18" i="31" a="1"/>
  <c r="W18" i="31"/>
  <c r="V18" i="31" a="1"/>
  <c r="V18" i="31"/>
  <c r="U17" i="31" a="1"/>
  <c r="U17" i="31"/>
  <c r="W17" i="31" a="1"/>
  <c r="W17" i="31"/>
  <c r="V17" i="31" a="1"/>
  <c r="V17" i="31"/>
  <c r="U7" i="31" a="1"/>
  <c r="U7" i="31"/>
  <c r="W7" i="31" a="1"/>
  <c r="W7" i="31"/>
  <c r="V7" i="31" a="1"/>
  <c r="V7" i="31"/>
  <c r="U16" i="31" a="1"/>
  <c r="U16" i="31"/>
  <c r="W16" i="31" a="1"/>
  <c r="W16" i="31"/>
  <c r="V16" i="31" a="1"/>
  <c r="V16" i="31"/>
  <c r="U15" i="31" a="1"/>
  <c r="U15" i="31"/>
  <c r="W15" i="31" a="1"/>
  <c r="W15" i="31"/>
  <c r="V15" i="31" a="1"/>
  <c r="V15" i="31"/>
  <c r="U14" i="31" a="1"/>
  <c r="U14" i="31"/>
  <c r="W14" i="31" a="1"/>
  <c r="W14" i="31"/>
  <c r="V14" i="31" a="1"/>
  <c r="V14" i="31"/>
  <c r="U13" i="31" a="1"/>
  <c r="U13" i="31"/>
  <c r="W13" i="31" a="1"/>
  <c r="W13" i="31"/>
  <c r="V13" i="31" a="1"/>
  <c r="V13" i="31"/>
  <c r="U12" i="31" a="1"/>
  <c r="U12" i="31"/>
  <c r="W12" i="31" a="1"/>
  <c r="W12" i="31"/>
  <c r="V12" i="31" a="1"/>
  <c r="V12" i="31"/>
  <c r="U11" i="31" a="1"/>
  <c r="U11" i="31"/>
  <c r="W11" i="31" a="1"/>
  <c r="W11" i="31"/>
  <c r="V11" i="31" a="1"/>
  <c r="V11" i="31"/>
  <c r="U10" i="31" a="1"/>
  <c r="U10" i="31"/>
  <c r="W10" i="31" a="1"/>
  <c r="W10" i="31"/>
  <c r="V10" i="31" a="1"/>
  <c r="V10" i="31"/>
  <c r="U9" i="31" a="1"/>
  <c r="U9" i="31"/>
  <c r="W9" i="31" a="1"/>
  <c r="W9" i="31"/>
  <c r="V9" i="31" a="1"/>
  <c r="V9" i="31"/>
  <c r="U8" i="31" a="1"/>
  <c r="U8" i="31"/>
  <c r="W8" i="31" a="1"/>
  <c r="W8" i="31"/>
  <c r="V8" i="31" a="1"/>
  <c r="V8" i="31"/>
  <c r="X2000" i="31" a="1"/>
  <c r="X2000" i="31"/>
  <c r="X1999" i="31" a="1"/>
  <c r="X1999" i="31"/>
  <c r="X1998" i="31" a="1"/>
  <c r="X1998" i="31"/>
  <c r="X1997" i="31" a="1"/>
  <c r="X1997" i="31"/>
  <c r="X1996" i="31" a="1"/>
  <c r="X1996" i="31"/>
  <c r="X1995" i="31" a="1"/>
  <c r="X1995" i="31"/>
  <c r="X1994" i="31" a="1"/>
  <c r="X1994" i="31"/>
  <c r="X1993" i="31" a="1"/>
  <c r="X1993" i="31"/>
  <c r="X1992" i="31" a="1"/>
  <c r="X1992" i="31"/>
  <c r="X1991" i="31" a="1"/>
  <c r="X1991" i="31"/>
  <c r="X1990" i="31" a="1"/>
  <c r="X1990" i="31"/>
  <c r="X1989" i="31" a="1"/>
  <c r="X1989" i="31"/>
  <c r="X1988" i="31" a="1"/>
  <c r="X1988" i="31"/>
  <c r="X1987" i="31" a="1"/>
  <c r="X1987" i="31"/>
  <c r="X1986" i="31" a="1"/>
  <c r="X1986" i="31"/>
  <c r="X1985" i="31" a="1"/>
  <c r="X1985" i="31"/>
  <c r="X1984" i="31" a="1"/>
  <c r="X1984" i="31"/>
  <c r="X1983" i="31" a="1"/>
  <c r="X1983" i="31"/>
  <c r="X1982" i="31" a="1"/>
  <c r="X1982" i="31"/>
  <c r="X1981" i="31" a="1"/>
  <c r="X1981" i="31"/>
  <c r="X1980" i="31" a="1"/>
  <c r="X1980" i="31"/>
  <c r="X1979" i="31" a="1"/>
  <c r="X1979" i="31"/>
  <c r="X1978" i="31" a="1"/>
  <c r="X1978" i="31"/>
  <c r="X1977" i="31" a="1"/>
  <c r="X1977" i="31"/>
  <c r="X1976" i="31" a="1"/>
  <c r="X1976" i="31"/>
  <c r="X1975" i="31" a="1"/>
  <c r="X1975" i="31"/>
  <c r="X1974" i="31" a="1"/>
  <c r="X1974" i="31"/>
  <c r="X1973" i="31" a="1"/>
  <c r="X1973" i="31"/>
  <c r="X1972" i="31" a="1"/>
  <c r="X1972" i="31"/>
  <c r="X1971" i="31" a="1"/>
  <c r="X1971" i="31"/>
  <c r="X1970" i="31" a="1"/>
  <c r="X1970" i="31"/>
  <c r="X1969" i="31" a="1"/>
  <c r="X1969" i="31"/>
  <c r="X1968" i="31" a="1"/>
  <c r="X1968" i="31"/>
  <c r="X1967" i="31" a="1"/>
  <c r="X1967" i="31"/>
  <c r="X1966" i="31" a="1"/>
  <c r="X1966" i="31"/>
  <c r="X1965" i="31" a="1"/>
  <c r="X1965" i="31"/>
  <c r="X1964" i="31" a="1"/>
  <c r="X1964" i="31"/>
  <c r="X1963" i="31" a="1"/>
  <c r="X1963" i="31"/>
  <c r="X1962" i="31" a="1"/>
  <c r="X1962" i="31"/>
  <c r="X1961" i="31" a="1"/>
  <c r="X1961" i="31"/>
  <c r="X1960" i="31" a="1"/>
  <c r="X1960" i="31"/>
  <c r="X1959" i="31" a="1"/>
  <c r="X1959" i="31"/>
  <c r="X1958" i="31" a="1"/>
  <c r="X1958" i="31"/>
  <c r="X1957" i="31" a="1"/>
  <c r="X1957" i="31"/>
  <c r="X1956" i="31" a="1"/>
  <c r="X1956" i="31"/>
  <c r="X1955" i="31" a="1"/>
  <c r="X1955" i="31"/>
  <c r="X1954" i="31" a="1"/>
  <c r="X1954" i="31"/>
  <c r="X1953" i="31" a="1"/>
  <c r="X1953" i="31"/>
  <c r="X1952" i="31" a="1"/>
  <c r="X1952" i="31"/>
  <c r="X1951" i="31" a="1"/>
  <c r="X1951" i="31"/>
  <c r="X1950" i="31" a="1"/>
  <c r="X1950" i="31"/>
  <c r="X1949" i="31" a="1"/>
  <c r="X1949" i="31"/>
  <c r="X1948" i="31" a="1"/>
  <c r="X1948" i="31"/>
  <c r="X1947" i="31" a="1"/>
  <c r="X1947" i="31"/>
  <c r="X1946" i="31" a="1"/>
  <c r="X1946" i="31"/>
  <c r="X1945" i="31" a="1"/>
  <c r="X1945" i="31"/>
  <c r="X1944" i="31" a="1"/>
  <c r="X1944" i="31"/>
  <c r="X1943" i="31" a="1"/>
  <c r="X1943" i="31"/>
  <c r="X1942" i="31" a="1"/>
  <c r="X1942" i="31"/>
  <c r="X1941" i="31" a="1"/>
  <c r="X1941" i="31"/>
  <c r="X1940" i="31" a="1"/>
  <c r="X1940" i="31"/>
  <c r="X1939" i="31" a="1"/>
  <c r="X1939" i="31"/>
  <c r="X1938" i="31" a="1"/>
  <c r="X1938" i="31"/>
  <c r="X1937" i="31" a="1"/>
  <c r="X1937" i="31"/>
  <c r="X1936" i="31" a="1"/>
  <c r="X1936" i="31"/>
  <c r="X1935" i="31" a="1"/>
  <c r="X1935" i="31"/>
  <c r="X1934" i="31" a="1"/>
  <c r="X1934" i="31"/>
  <c r="X1933" i="31" a="1"/>
  <c r="X1933" i="31"/>
  <c r="X1932" i="31" a="1"/>
  <c r="X1932" i="31"/>
  <c r="X1931" i="31" a="1"/>
  <c r="X1931" i="31"/>
  <c r="X1930" i="31" a="1"/>
  <c r="X1930" i="31"/>
  <c r="X1929" i="31" a="1"/>
  <c r="X1929" i="31"/>
  <c r="X1928" i="31" a="1"/>
  <c r="X1928" i="31"/>
  <c r="X1927" i="31" a="1"/>
  <c r="X1927" i="31"/>
  <c r="X1926" i="31" a="1"/>
  <c r="X1926" i="31"/>
  <c r="X1925" i="31" a="1"/>
  <c r="X1925" i="31"/>
  <c r="X1924" i="31" a="1"/>
  <c r="X1924" i="31"/>
  <c r="X1923" i="31" a="1"/>
  <c r="X1923" i="31"/>
  <c r="X1922" i="31" a="1"/>
  <c r="X1922" i="31"/>
  <c r="X1921" i="31" a="1"/>
  <c r="X1921" i="31"/>
  <c r="X1920" i="31" a="1"/>
  <c r="X1920" i="31"/>
  <c r="X1919" i="31" a="1"/>
  <c r="X1919" i="31"/>
  <c r="X1918" i="31" a="1"/>
  <c r="X1918" i="31"/>
  <c r="X1917" i="31" a="1"/>
  <c r="X1917" i="31"/>
  <c r="X1916" i="31" a="1"/>
  <c r="X1916" i="31"/>
  <c r="X1915" i="31" a="1"/>
  <c r="X1915" i="31"/>
  <c r="X1914" i="31" a="1"/>
  <c r="X1914" i="31"/>
  <c r="X1913" i="31" a="1"/>
  <c r="X1913" i="31"/>
  <c r="X1912" i="31" a="1"/>
  <c r="X1912" i="31"/>
  <c r="X1911" i="31" a="1"/>
  <c r="X1911" i="31"/>
  <c r="X1910" i="31" a="1"/>
  <c r="X1910" i="31"/>
  <c r="X1909" i="31" a="1"/>
  <c r="X1909" i="31"/>
  <c r="X1908" i="31" a="1"/>
  <c r="X1908" i="31"/>
  <c r="X1907" i="31" a="1"/>
  <c r="X1907" i="31"/>
  <c r="X1906" i="31" a="1"/>
  <c r="X1906" i="31"/>
  <c r="X1905" i="31" a="1"/>
  <c r="X1905" i="31"/>
  <c r="X1904" i="31" a="1"/>
  <c r="X1904" i="31"/>
  <c r="X1903" i="31" a="1"/>
  <c r="X1903" i="31"/>
  <c r="X1902" i="31" a="1"/>
  <c r="X1902" i="31"/>
  <c r="X1901" i="31" a="1"/>
  <c r="X1901" i="31"/>
  <c r="X1900" i="31" a="1"/>
  <c r="X1900" i="31"/>
  <c r="X1899" i="31" a="1"/>
  <c r="X1899" i="31"/>
  <c r="X1898" i="31" a="1"/>
  <c r="X1898" i="31"/>
  <c r="X1897" i="31" a="1"/>
  <c r="X1897" i="31"/>
  <c r="X1896" i="31" a="1"/>
  <c r="X1896" i="31"/>
  <c r="X1895" i="31" a="1"/>
  <c r="X1895" i="31"/>
  <c r="X1894" i="31" a="1"/>
  <c r="X1894" i="31"/>
  <c r="X1893" i="31" a="1"/>
  <c r="X1893" i="31"/>
  <c r="X1892" i="31" a="1"/>
  <c r="X1892" i="31"/>
  <c r="X1891" i="31" a="1"/>
  <c r="X1891" i="31"/>
  <c r="X1890" i="31" a="1"/>
  <c r="X1890" i="31"/>
  <c r="X1889" i="31" a="1"/>
  <c r="X1889" i="31"/>
  <c r="X1888" i="31" a="1"/>
  <c r="X1888" i="31"/>
  <c r="X1887" i="31" a="1"/>
  <c r="X1887" i="31"/>
  <c r="X1886" i="31" a="1"/>
  <c r="X1886" i="31"/>
  <c r="X1885" i="31" a="1"/>
  <c r="X1885" i="31"/>
  <c r="X1884" i="31" a="1"/>
  <c r="X1884" i="31"/>
  <c r="X1883" i="31" a="1"/>
  <c r="X1883" i="31"/>
  <c r="X1882" i="31" a="1"/>
  <c r="X1882" i="31"/>
  <c r="X1881" i="31" a="1"/>
  <c r="X1881" i="31"/>
  <c r="X1880" i="31" a="1"/>
  <c r="X1880" i="31"/>
  <c r="X1879" i="31" a="1"/>
  <c r="X1879" i="31"/>
  <c r="X1878" i="31" a="1"/>
  <c r="X1878" i="31"/>
  <c r="X1877" i="31" a="1"/>
  <c r="X1877" i="31"/>
  <c r="X1876" i="31" a="1"/>
  <c r="X1876" i="31"/>
  <c r="X1875" i="31" a="1"/>
  <c r="X1875" i="31"/>
  <c r="X1874" i="31" a="1"/>
  <c r="X1874" i="31"/>
  <c r="X1873" i="31" a="1"/>
  <c r="X1873" i="31"/>
  <c r="X1872" i="31" a="1"/>
  <c r="X1872" i="31"/>
  <c r="X1871" i="31" a="1"/>
  <c r="X1871" i="31"/>
  <c r="X1870" i="31" a="1"/>
  <c r="X1870" i="31"/>
  <c r="X1869" i="31" a="1"/>
  <c r="X1869" i="31"/>
  <c r="X1868" i="31" a="1"/>
  <c r="X1868" i="31"/>
  <c r="X1867" i="31" a="1"/>
  <c r="X1867" i="31"/>
  <c r="X1866" i="31" a="1"/>
  <c r="X1866" i="31"/>
  <c r="X1865" i="31" a="1"/>
  <c r="X1865" i="31"/>
  <c r="X1864" i="31" a="1"/>
  <c r="X1864" i="31"/>
  <c r="X1863" i="31" a="1"/>
  <c r="X1863" i="31"/>
  <c r="X1862" i="31" a="1"/>
  <c r="X1862" i="31"/>
  <c r="X1861" i="31" a="1"/>
  <c r="X1861" i="31"/>
  <c r="X1860" i="31" a="1"/>
  <c r="X1860" i="31"/>
  <c r="X1859" i="31" a="1"/>
  <c r="X1859" i="31"/>
  <c r="X1858" i="31" a="1"/>
  <c r="X1858" i="31"/>
  <c r="X1857" i="31" a="1"/>
  <c r="X1857" i="31"/>
  <c r="X1856" i="31" a="1"/>
  <c r="X1856" i="31"/>
  <c r="X1855" i="31" a="1"/>
  <c r="X1855" i="31"/>
  <c r="X1854" i="31" a="1"/>
  <c r="X1854" i="31"/>
  <c r="X1853" i="31" a="1"/>
  <c r="X1853" i="31"/>
  <c r="X1852" i="31" a="1"/>
  <c r="X1852" i="31"/>
  <c r="X1851" i="31" a="1"/>
  <c r="X1851" i="31"/>
  <c r="X1850" i="31" a="1"/>
  <c r="X1850" i="31"/>
  <c r="X1849" i="31" a="1"/>
  <c r="X1849" i="31"/>
  <c r="X1848" i="31" a="1"/>
  <c r="X1848" i="31"/>
  <c r="X1847" i="31" a="1"/>
  <c r="X1847" i="31"/>
  <c r="X1846" i="31" a="1"/>
  <c r="X1846" i="31"/>
  <c r="X1845" i="31" a="1"/>
  <c r="X1845" i="31"/>
  <c r="X1844" i="31" a="1"/>
  <c r="X1844" i="31"/>
  <c r="X1843" i="31" a="1"/>
  <c r="X1843" i="31"/>
  <c r="X1842" i="31" a="1"/>
  <c r="X1842" i="31"/>
  <c r="X1841" i="31" a="1"/>
  <c r="X1841" i="31"/>
  <c r="X1840" i="31" a="1"/>
  <c r="X1840" i="31"/>
  <c r="X1839" i="31" a="1"/>
  <c r="X1839" i="31"/>
  <c r="X1838" i="31" a="1"/>
  <c r="X1838" i="31"/>
  <c r="X1837" i="31" a="1"/>
  <c r="X1837" i="31"/>
  <c r="X1836" i="31" a="1"/>
  <c r="X1836" i="31"/>
  <c r="X1835" i="31" a="1"/>
  <c r="X1835" i="31"/>
  <c r="X1834" i="31" a="1"/>
  <c r="X1834" i="31"/>
  <c r="X1833" i="31" a="1"/>
  <c r="X1833" i="31"/>
  <c r="X1832" i="31" a="1"/>
  <c r="X1832" i="31"/>
  <c r="X1831" i="31" a="1"/>
  <c r="X1831" i="31"/>
  <c r="X1830" i="31" a="1"/>
  <c r="X1830" i="31"/>
  <c r="X1829" i="31" a="1"/>
  <c r="X1829" i="31"/>
  <c r="X1828" i="31" a="1"/>
  <c r="X1828" i="31"/>
  <c r="X1827" i="31" a="1"/>
  <c r="X1827" i="31"/>
  <c r="X1826" i="31" a="1"/>
  <c r="X1826" i="31"/>
  <c r="X1825" i="31" a="1"/>
  <c r="X1825" i="31"/>
  <c r="X1824" i="31" a="1"/>
  <c r="X1824" i="31"/>
  <c r="X1823" i="31" a="1"/>
  <c r="X1823" i="31"/>
  <c r="X1822" i="31" a="1"/>
  <c r="X1822" i="31"/>
  <c r="X1821" i="31" a="1"/>
  <c r="X1821" i="31"/>
  <c r="X1820" i="31" a="1"/>
  <c r="X1820" i="31"/>
  <c r="X1819" i="31" a="1"/>
  <c r="X1819" i="31"/>
  <c r="X1818" i="31" a="1"/>
  <c r="X1818" i="31"/>
  <c r="X1817" i="31" a="1"/>
  <c r="X1817" i="31"/>
  <c r="X1816" i="31" a="1"/>
  <c r="X1816" i="31"/>
  <c r="X1815" i="31" a="1"/>
  <c r="X1815" i="31"/>
  <c r="X1814" i="31" a="1"/>
  <c r="X1814" i="31"/>
  <c r="X1813" i="31" a="1"/>
  <c r="X1813" i="31"/>
  <c r="X1812" i="31" a="1"/>
  <c r="X1812" i="31"/>
  <c r="X1811" i="31" a="1"/>
  <c r="X1811" i="31"/>
  <c r="X1810" i="31" a="1"/>
  <c r="X1810" i="31"/>
  <c r="X1809" i="31" a="1"/>
  <c r="X1809" i="31"/>
  <c r="X1808" i="31" a="1"/>
  <c r="X1808" i="31"/>
  <c r="X1807" i="31" a="1"/>
  <c r="X1807" i="31"/>
  <c r="X1806" i="31" a="1"/>
  <c r="X1806" i="31"/>
  <c r="X1805" i="31" a="1"/>
  <c r="X1805" i="31"/>
  <c r="X1804" i="31" a="1"/>
  <c r="X1804" i="31"/>
  <c r="X1803" i="31" a="1"/>
  <c r="X1803" i="31"/>
  <c r="X1802" i="31" a="1"/>
  <c r="X1802" i="31"/>
  <c r="X1801" i="31" a="1"/>
  <c r="X1801" i="31"/>
  <c r="X1800" i="31" a="1"/>
  <c r="X1800" i="31"/>
  <c r="X1799" i="31" a="1"/>
  <c r="X1799" i="31"/>
  <c r="X1798" i="31" a="1"/>
  <c r="X1798" i="31"/>
  <c r="X1797" i="31" a="1"/>
  <c r="X1797" i="31"/>
  <c r="X1796" i="31" a="1"/>
  <c r="X1796" i="31"/>
  <c r="X1795" i="31" a="1"/>
  <c r="X1795" i="31"/>
  <c r="X1794" i="31" a="1"/>
  <c r="X1794" i="31"/>
  <c r="X1793" i="31" a="1"/>
  <c r="X1793" i="31"/>
  <c r="X1792" i="31" a="1"/>
  <c r="X1792" i="31"/>
  <c r="X1791" i="31" a="1"/>
  <c r="X1791" i="31"/>
  <c r="X1790" i="31" a="1"/>
  <c r="X1790" i="31"/>
  <c r="X1789" i="31" a="1"/>
  <c r="X1789" i="31"/>
  <c r="X1788" i="31" a="1"/>
  <c r="X1788" i="31"/>
  <c r="X1787" i="31" a="1"/>
  <c r="X1787" i="31"/>
  <c r="X1786" i="31" a="1"/>
  <c r="X1786" i="31"/>
  <c r="X1785" i="31" a="1"/>
  <c r="X1785" i="31"/>
  <c r="X1784" i="31" a="1"/>
  <c r="X1784" i="31"/>
  <c r="X1783" i="31" a="1"/>
  <c r="X1783" i="31"/>
  <c r="X1782" i="31" a="1"/>
  <c r="X1782" i="31"/>
  <c r="X1781" i="31" a="1"/>
  <c r="X1781" i="31"/>
  <c r="X1780" i="31" a="1"/>
  <c r="X1780" i="31"/>
  <c r="X1779" i="31" a="1"/>
  <c r="X1779" i="31"/>
  <c r="X1778" i="31" a="1"/>
  <c r="X1778" i="31"/>
  <c r="X1777" i="31" a="1"/>
  <c r="X1777" i="31"/>
  <c r="X1776" i="31" a="1"/>
  <c r="X1776" i="31"/>
  <c r="X1775" i="31" a="1"/>
  <c r="X1775" i="31"/>
  <c r="X1774" i="31" a="1"/>
  <c r="X1774" i="31"/>
  <c r="X1773" i="31" a="1"/>
  <c r="X1773" i="31"/>
  <c r="X1772" i="31" a="1"/>
  <c r="X1772" i="31"/>
  <c r="X1771" i="31" a="1"/>
  <c r="X1771" i="31"/>
  <c r="X1770" i="31" a="1"/>
  <c r="X1770" i="31"/>
  <c r="X1769" i="31" a="1"/>
  <c r="X1769" i="31"/>
  <c r="X1768" i="31" a="1"/>
  <c r="X1768" i="31"/>
  <c r="X1767" i="31" a="1"/>
  <c r="X1767" i="31"/>
  <c r="X1766" i="31" a="1"/>
  <c r="X1766" i="31"/>
  <c r="X1765" i="31" a="1"/>
  <c r="X1765" i="31"/>
  <c r="X1764" i="31" a="1"/>
  <c r="X1764" i="31"/>
  <c r="X1763" i="31" a="1"/>
  <c r="X1763" i="31"/>
  <c r="X1762" i="31" a="1"/>
  <c r="X1762" i="31"/>
  <c r="X1761" i="31" a="1"/>
  <c r="X1761" i="31"/>
  <c r="X1760" i="31" a="1"/>
  <c r="X1760" i="31"/>
  <c r="X1759" i="31" a="1"/>
  <c r="X1759" i="31"/>
  <c r="X1758" i="31" a="1"/>
  <c r="X1758" i="31"/>
  <c r="X1757" i="31" a="1"/>
  <c r="X1757" i="31"/>
  <c r="X1756" i="31" a="1"/>
  <c r="X1756" i="31"/>
  <c r="X1755" i="31" a="1"/>
  <c r="X1755" i="31"/>
  <c r="X1754" i="31" a="1"/>
  <c r="X1754" i="31"/>
  <c r="X1753" i="31" a="1"/>
  <c r="X1753" i="31"/>
  <c r="X1752" i="31" a="1"/>
  <c r="X1752" i="31"/>
  <c r="X1751" i="31" a="1"/>
  <c r="X1751" i="31"/>
  <c r="X1750" i="31" a="1"/>
  <c r="X1750" i="31"/>
  <c r="X1749" i="31" a="1"/>
  <c r="X1749" i="31"/>
  <c r="X1748" i="31" a="1"/>
  <c r="X1748" i="31"/>
  <c r="X1747" i="31" a="1"/>
  <c r="X1747" i="31"/>
  <c r="X1746" i="31" a="1"/>
  <c r="X1746" i="31"/>
  <c r="X1745" i="31" a="1"/>
  <c r="X1745" i="31"/>
  <c r="X1744" i="31" a="1"/>
  <c r="X1744" i="31"/>
  <c r="X1743" i="31" a="1"/>
  <c r="X1743" i="31"/>
  <c r="X1742" i="31" a="1"/>
  <c r="X1742" i="31"/>
  <c r="X1741" i="31" a="1"/>
  <c r="X1741" i="31"/>
  <c r="X1740" i="31" a="1"/>
  <c r="X1740" i="31"/>
  <c r="X1739" i="31" a="1"/>
  <c r="X1739" i="31"/>
  <c r="X1738" i="31" a="1"/>
  <c r="X1738" i="31"/>
  <c r="X1737" i="31" a="1"/>
  <c r="X1737" i="31"/>
  <c r="X1736" i="31" a="1"/>
  <c r="X1736" i="31"/>
  <c r="X1735" i="31" a="1"/>
  <c r="X1735" i="31"/>
  <c r="X1734" i="31" a="1"/>
  <c r="X1734" i="31"/>
  <c r="X1733" i="31" a="1"/>
  <c r="X1733" i="31"/>
  <c r="X1732" i="31" a="1"/>
  <c r="X1732" i="31"/>
  <c r="X1731" i="31" a="1"/>
  <c r="X1731" i="31"/>
  <c r="X1730" i="31" a="1"/>
  <c r="X1730" i="31"/>
  <c r="X1729" i="31" a="1"/>
  <c r="X1729" i="31"/>
  <c r="X1728" i="31" a="1"/>
  <c r="X1728" i="31"/>
  <c r="X1727" i="31" a="1"/>
  <c r="X1727" i="31"/>
  <c r="X1726" i="31" a="1"/>
  <c r="X1726" i="31"/>
  <c r="X1725" i="31" a="1"/>
  <c r="X1725" i="31"/>
  <c r="X1724" i="31" a="1"/>
  <c r="X1724" i="31"/>
  <c r="X1723" i="31" a="1"/>
  <c r="X1723" i="31"/>
  <c r="X1722" i="31" a="1"/>
  <c r="X1722" i="31"/>
  <c r="X1721" i="31" a="1"/>
  <c r="X1721" i="31"/>
  <c r="X1720" i="31" a="1"/>
  <c r="X1720" i="31"/>
  <c r="X1719" i="31" a="1"/>
  <c r="X1719" i="31"/>
  <c r="X1718" i="31" a="1"/>
  <c r="X1718" i="31"/>
  <c r="X1717" i="31" a="1"/>
  <c r="X1717" i="31"/>
  <c r="X1716" i="31" a="1"/>
  <c r="X1716" i="31"/>
  <c r="X1715" i="31" a="1"/>
  <c r="X1715" i="31"/>
  <c r="X1714" i="31" a="1"/>
  <c r="X1714" i="31"/>
  <c r="X1713" i="31" a="1"/>
  <c r="X1713" i="31"/>
  <c r="X1712" i="31" a="1"/>
  <c r="X1712" i="31"/>
  <c r="X1711" i="31" a="1"/>
  <c r="X1711" i="31"/>
  <c r="X1710" i="31" a="1"/>
  <c r="X1710" i="31"/>
  <c r="X1709" i="31" a="1"/>
  <c r="X1709" i="31"/>
  <c r="X1708" i="31" a="1"/>
  <c r="X1708" i="31"/>
  <c r="X1707" i="31" a="1"/>
  <c r="X1707" i="31"/>
  <c r="X1706" i="31" a="1"/>
  <c r="X1706" i="31"/>
  <c r="X1705" i="31" a="1"/>
  <c r="X1705" i="31"/>
  <c r="X1704" i="31" a="1"/>
  <c r="X1704" i="31"/>
  <c r="X1703" i="31" a="1"/>
  <c r="X1703" i="31"/>
  <c r="X1702" i="31" a="1"/>
  <c r="X1702" i="31"/>
  <c r="X1701" i="31" a="1"/>
  <c r="X1701" i="31"/>
  <c r="X1700" i="31" a="1"/>
  <c r="X1700" i="31"/>
  <c r="X1699" i="31" a="1"/>
  <c r="X1699" i="31"/>
  <c r="X1698" i="31" a="1"/>
  <c r="X1698" i="31"/>
  <c r="X1697" i="31" a="1"/>
  <c r="X1697" i="31"/>
  <c r="X1696" i="31" a="1"/>
  <c r="X1696" i="31"/>
  <c r="X1695" i="31" a="1"/>
  <c r="X1695" i="31"/>
  <c r="X1694" i="31" a="1"/>
  <c r="X1694" i="31"/>
  <c r="X1693" i="31" a="1"/>
  <c r="X1693" i="31"/>
  <c r="X1692" i="31" a="1"/>
  <c r="X1692" i="31"/>
  <c r="X1691" i="31" a="1"/>
  <c r="X1691" i="31"/>
  <c r="X1690" i="31" a="1"/>
  <c r="X1690" i="31"/>
  <c r="X1689" i="31" a="1"/>
  <c r="X1689" i="31"/>
  <c r="X1688" i="31" a="1"/>
  <c r="X1688" i="31"/>
  <c r="X1687" i="31" a="1"/>
  <c r="X1687" i="31"/>
  <c r="X1686" i="31" a="1"/>
  <c r="X1686" i="31"/>
  <c r="X1685" i="31" a="1"/>
  <c r="X1685" i="31"/>
  <c r="X1684" i="31" a="1"/>
  <c r="X1684" i="31"/>
  <c r="X1683" i="31" a="1"/>
  <c r="X1683" i="31"/>
  <c r="X1682" i="31" a="1"/>
  <c r="X1682" i="31"/>
  <c r="X1681" i="31" a="1"/>
  <c r="X1681" i="31"/>
  <c r="X1680" i="31" a="1"/>
  <c r="X1680" i="31"/>
  <c r="X1679" i="31" a="1"/>
  <c r="X1679" i="31"/>
  <c r="X1678" i="31" a="1"/>
  <c r="X1678" i="31"/>
  <c r="X1677" i="31" a="1"/>
  <c r="X1677" i="31"/>
  <c r="X1676" i="31" a="1"/>
  <c r="X1676" i="31"/>
  <c r="X1675" i="31" a="1"/>
  <c r="X1675" i="31"/>
  <c r="X1674" i="31" a="1"/>
  <c r="X1674" i="31"/>
  <c r="X1673" i="31" a="1"/>
  <c r="X1673" i="31"/>
  <c r="X1672" i="31" a="1"/>
  <c r="X1672" i="31"/>
  <c r="X1671" i="31" a="1"/>
  <c r="X1671" i="31"/>
  <c r="X1670" i="31" a="1"/>
  <c r="X1670" i="31"/>
  <c r="X1669" i="31" a="1"/>
  <c r="X1669" i="31"/>
  <c r="X1668" i="31" a="1"/>
  <c r="X1668" i="31"/>
  <c r="X1667" i="31" a="1"/>
  <c r="X1667" i="31"/>
  <c r="X1666" i="31" a="1"/>
  <c r="X1666" i="31"/>
  <c r="X1665" i="31" a="1"/>
  <c r="X1665" i="31"/>
  <c r="X1664" i="31" a="1"/>
  <c r="X1664" i="31"/>
  <c r="X1663" i="31" a="1"/>
  <c r="X1663" i="31"/>
  <c r="X1662" i="31" a="1"/>
  <c r="X1662" i="31"/>
  <c r="X1661" i="31" a="1"/>
  <c r="X1661" i="31"/>
  <c r="X1660" i="31" a="1"/>
  <c r="X1660" i="31"/>
  <c r="X1659" i="31" a="1"/>
  <c r="X1659" i="31"/>
  <c r="X1658" i="31" a="1"/>
  <c r="X1658" i="31"/>
  <c r="X1657" i="31" a="1"/>
  <c r="X1657" i="31"/>
  <c r="X1656" i="31" a="1"/>
  <c r="X1656" i="31"/>
  <c r="X1655" i="31" a="1"/>
  <c r="X1655" i="31"/>
  <c r="X1654" i="31" a="1"/>
  <c r="X1654" i="31"/>
  <c r="X1653" i="31" a="1"/>
  <c r="X1653" i="31"/>
  <c r="X1652" i="31" a="1"/>
  <c r="X1652" i="31"/>
  <c r="X1651" i="31" a="1"/>
  <c r="X1651" i="31"/>
  <c r="X1650" i="31" a="1"/>
  <c r="X1650" i="31"/>
  <c r="X1649" i="31" a="1"/>
  <c r="X1649" i="31"/>
  <c r="X1648" i="31" a="1"/>
  <c r="X1648" i="31"/>
  <c r="X1647" i="31" a="1"/>
  <c r="X1647" i="31"/>
  <c r="X1646" i="31" a="1"/>
  <c r="X1646" i="31"/>
  <c r="X1645" i="31" a="1"/>
  <c r="X1645" i="31"/>
  <c r="X1644" i="31" a="1"/>
  <c r="X1644" i="31"/>
  <c r="X1643" i="31" a="1"/>
  <c r="X1643" i="31"/>
  <c r="X1642" i="31" a="1"/>
  <c r="X1642" i="31"/>
  <c r="X1641" i="31" a="1"/>
  <c r="X1641" i="31"/>
  <c r="X1640" i="31" a="1"/>
  <c r="X1640" i="31"/>
  <c r="X1639" i="31" a="1"/>
  <c r="X1639" i="31"/>
  <c r="X1638" i="31" a="1"/>
  <c r="X1638" i="31"/>
  <c r="X1637" i="31" a="1"/>
  <c r="X1637" i="31"/>
  <c r="X1636" i="31" a="1"/>
  <c r="X1636" i="31"/>
  <c r="X1635" i="31" a="1"/>
  <c r="X1635" i="31"/>
  <c r="X1634" i="31" a="1"/>
  <c r="X1634" i="31"/>
  <c r="X1633" i="31" a="1"/>
  <c r="X1633" i="31"/>
  <c r="X1632" i="31" a="1"/>
  <c r="X1632" i="31"/>
  <c r="X1631" i="31" a="1"/>
  <c r="X1631" i="31"/>
  <c r="X1630" i="31" a="1"/>
  <c r="X1630" i="31"/>
  <c r="X1629" i="31" a="1"/>
  <c r="X1629" i="31"/>
  <c r="X1628" i="31" a="1"/>
  <c r="X1628" i="31"/>
  <c r="X1627" i="31" a="1"/>
  <c r="X1627" i="31"/>
  <c r="X1626" i="31" a="1"/>
  <c r="X1626" i="31"/>
  <c r="X1625" i="31" a="1"/>
  <c r="X1625" i="31"/>
  <c r="X1624" i="31" a="1"/>
  <c r="X1624" i="31"/>
  <c r="X1623" i="31" a="1"/>
  <c r="X1623" i="31"/>
  <c r="X1622" i="31" a="1"/>
  <c r="X1622" i="31"/>
  <c r="X1621" i="31" a="1"/>
  <c r="X1621" i="31"/>
  <c r="X1620" i="31" a="1"/>
  <c r="X1620" i="31"/>
  <c r="X1619" i="31" a="1"/>
  <c r="X1619" i="31"/>
  <c r="X1618" i="31" a="1"/>
  <c r="X1618" i="31"/>
  <c r="X1617" i="31" a="1"/>
  <c r="X1617" i="31"/>
  <c r="X1616" i="31" a="1"/>
  <c r="X1616" i="31"/>
  <c r="X1615" i="31" a="1"/>
  <c r="X1615" i="31"/>
  <c r="X1614" i="31" a="1"/>
  <c r="X1614" i="31"/>
  <c r="X1613" i="31" a="1"/>
  <c r="X1613" i="31"/>
  <c r="X1612" i="31" a="1"/>
  <c r="X1612" i="31"/>
  <c r="X1611" i="31" a="1"/>
  <c r="X1611" i="31"/>
  <c r="X1610" i="31" a="1"/>
  <c r="X1610" i="31"/>
  <c r="X1609" i="31" a="1"/>
  <c r="X1609" i="31"/>
  <c r="X1608" i="31" a="1"/>
  <c r="X1608" i="31"/>
  <c r="X1607" i="31" a="1"/>
  <c r="X1607" i="31"/>
  <c r="X1606" i="31" a="1"/>
  <c r="X1606" i="31"/>
  <c r="X1605" i="31" a="1"/>
  <c r="X1605" i="31"/>
  <c r="X1604" i="31" a="1"/>
  <c r="X1604" i="31"/>
  <c r="X1603" i="31" a="1"/>
  <c r="X1603" i="31"/>
  <c r="X1602" i="31" a="1"/>
  <c r="X1602" i="31"/>
  <c r="X1601" i="31" a="1"/>
  <c r="X1601" i="31"/>
  <c r="X1600" i="31" a="1"/>
  <c r="X1600" i="31"/>
  <c r="X1599" i="31" a="1"/>
  <c r="X1599" i="31"/>
  <c r="X1598" i="31" a="1"/>
  <c r="X1598" i="31"/>
  <c r="X1597" i="31" a="1"/>
  <c r="X1597" i="31"/>
  <c r="X1596" i="31" a="1"/>
  <c r="X1596" i="31"/>
  <c r="X1595" i="31" a="1"/>
  <c r="X1595" i="31"/>
  <c r="X1594" i="31" a="1"/>
  <c r="X1594" i="31"/>
  <c r="X1593" i="31" a="1"/>
  <c r="X1593" i="31"/>
  <c r="X1592" i="31" a="1"/>
  <c r="X1592" i="31"/>
  <c r="X1591" i="31" a="1"/>
  <c r="X1591" i="31"/>
  <c r="X1590" i="31" a="1"/>
  <c r="X1590" i="31"/>
  <c r="X1589" i="31" a="1"/>
  <c r="X1589" i="31"/>
  <c r="X1588" i="31" a="1"/>
  <c r="X1588" i="31"/>
  <c r="X1587" i="31" a="1"/>
  <c r="X1587" i="31"/>
  <c r="X1586" i="31" a="1"/>
  <c r="X1586" i="31"/>
  <c r="X1585" i="31" a="1"/>
  <c r="X1585" i="31"/>
  <c r="X1584" i="31" a="1"/>
  <c r="X1584" i="31"/>
  <c r="X1583" i="31" a="1"/>
  <c r="X1583" i="31"/>
  <c r="X1582" i="31" a="1"/>
  <c r="X1582" i="31"/>
  <c r="X1581" i="31" a="1"/>
  <c r="X1581" i="31"/>
  <c r="X1580" i="31" a="1"/>
  <c r="X1580" i="31"/>
  <c r="X1579" i="31" a="1"/>
  <c r="X1579" i="31"/>
  <c r="X1578" i="31" a="1"/>
  <c r="X1578" i="31"/>
  <c r="X1577" i="31" a="1"/>
  <c r="X1577" i="31"/>
  <c r="X1576" i="31" a="1"/>
  <c r="X1576" i="31"/>
  <c r="X1575" i="31" a="1"/>
  <c r="X1575" i="31"/>
  <c r="X1574" i="31" a="1"/>
  <c r="X1574" i="31"/>
  <c r="X1573" i="31" a="1"/>
  <c r="X1573" i="31"/>
  <c r="X1572" i="31" a="1"/>
  <c r="X1572" i="31"/>
  <c r="X1571" i="31" a="1"/>
  <c r="X1571" i="31"/>
  <c r="X1570" i="31" a="1"/>
  <c r="X1570" i="31"/>
  <c r="X1569" i="31" a="1"/>
  <c r="X1569" i="31"/>
  <c r="X1568" i="31" a="1"/>
  <c r="X1568" i="31"/>
  <c r="X1567" i="31" a="1"/>
  <c r="X1567" i="31"/>
  <c r="X1566" i="31" a="1"/>
  <c r="X1566" i="31"/>
  <c r="X1565" i="31" a="1"/>
  <c r="X1565" i="31"/>
  <c r="X1564" i="31" a="1"/>
  <c r="X1564" i="31"/>
  <c r="X1563" i="31" a="1"/>
  <c r="X1563" i="31"/>
  <c r="X1562" i="31" a="1"/>
  <c r="X1562" i="31"/>
  <c r="X1561" i="31" a="1"/>
  <c r="X1561" i="31"/>
  <c r="X1560" i="31" a="1"/>
  <c r="X1560" i="31"/>
  <c r="X1559" i="31" a="1"/>
  <c r="X1559" i="31"/>
  <c r="X1558" i="31" a="1"/>
  <c r="X1558" i="31"/>
  <c r="X1557" i="31" a="1"/>
  <c r="X1557" i="31"/>
  <c r="X1556" i="31" a="1"/>
  <c r="X1556" i="31"/>
  <c r="X1555" i="31" a="1"/>
  <c r="X1555" i="31"/>
  <c r="X1554" i="31" a="1"/>
  <c r="X1554" i="31"/>
  <c r="X1553" i="31" a="1"/>
  <c r="X1553" i="31"/>
  <c r="X1552" i="31" a="1"/>
  <c r="X1552" i="31"/>
  <c r="X1551" i="31" a="1"/>
  <c r="X1551" i="31"/>
  <c r="X1550" i="31" a="1"/>
  <c r="X1550" i="31"/>
  <c r="X1549" i="31" a="1"/>
  <c r="X1549" i="31"/>
  <c r="X1548" i="31" a="1"/>
  <c r="X1548" i="31"/>
  <c r="X1547" i="31" a="1"/>
  <c r="X1547" i="31"/>
  <c r="X1546" i="31" a="1"/>
  <c r="X1546" i="31"/>
  <c r="X1545" i="31" a="1"/>
  <c r="X1545" i="31"/>
  <c r="X1544" i="31" a="1"/>
  <c r="X1544" i="31"/>
  <c r="X1543" i="31" a="1"/>
  <c r="X1543" i="31"/>
  <c r="X1542" i="31" a="1"/>
  <c r="X1542" i="31"/>
  <c r="X1541" i="31" a="1"/>
  <c r="X1541" i="31"/>
  <c r="X1540" i="31" a="1"/>
  <c r="X1540" i="31"/>
  <c r="X1539" i="31" a="1"/>
  <c r="X1539" i="31"/>
  <c r="X1538" i="31" a="1"/>
  <c r="X1538" i="31"/>
  <c r="X1537" i="31" a="1"/>
  <c r="X1537" i="31"/>
  <c r="X1536" i="31" a="1"/>
  <c r="X1536" i="31"/>
  <c r="X1535" i="31" a="1"/>
  <c r="X1535" i="31"/>
  <c r="X1534" i="31" a="1"/>
  <c r="X1534" i="31"/>
  <c r="X1533" i="31" a="1"/>
  <c r="X1533" i="31"/>
  <c r="X1532" i="31" a="1"/>
  <c r="X1532" i="31"/>
  <c r="X1531" i="31" a="1"/>
  <c r="X1531" i="31"/>
  <c r="X1530" i="31" a="1"/>
  <c r="X1530" i="31"/>
  <c r="X1529" i="31" a="1"/>
  <c r="X1529" i="31"/>
  <c r="X1528" i="31" a="1"/>
  <c r="X1528" i="31"/>
  <c r="X1527" i="31" a="1"/>
  <c r="X1527" i="31"/>
  <c r="X1526" i="31" a="1"/>
  <c r="X1526" i="31"/>
  <c r="X1525" i="31" a="1"/>
  <c r="X1525" i="31"/>
  <c r="X1524" i="31" a="1"/>
  <c r="X1524" i="31"/>
  <c r="X1523" i="31" a="1"/>
  <c r="X1523" i="31"/>
  <c r="X1522" i="31" a="1"/>
  <c r="X1522" i="31"/>
  <c r="X1521" i="31" a="1"/>
  <c r="X1521" i="31"/>
  <c r="X1520" i="31" a="1"/>
  <c r="X1520" i="31"/>
  <c r="X1519" i="31" a="1"/>
  <c r="X1519" i="31"/>
  <c r="X1518" i="31" a="1"/>
  <c r="X1518" i="31"/>
  <c r="X1517" i="31" a="1"/>
  <c r="X1517" i="31"/>
  <c r="X1516" i="31" a="1"/>
  <c r="X1516" i="31"/>
  <c r="X1515" i="31" a="1"/>
  <c r="X1515" i="31"/>
  <c r="X1514" i="31" a="1"/>
  <c r="X1514" i="31"/>
  <c r="X1513" i="31" a="1"/>
  <c r="X1513" i="31"/>
  <c r="X1512" i="31" a="1"/>
  <c r="X1512" i="31"/>
  <c r="X1511" i="31" a="1"/>
  <c r="X1511" i="31"/>
  <c r="X1510" i="31" a="1"/>
  <c r="X1510" i="31"/>
  <c r="X1509" i="31" a="1"/>
  <c r="X1509" i="31"/>
  <c r="X1508" i="31" a="1"/>
  <c r="X1508" i="31"/>
  <c r="X1507" i="31" a="1"/>
  <c r="X1507" i="31"/>
  <c r="X1506" i="31" a="1"/>
  <c r="X1506" i="31"/>
  <c r="X1505" i="31" a="1"/>
  <c r="X1505" i="31"/>
  <c r="X1504" i="31" a="1"/>
  <c r="X1504" i="31"/>
  <c r="X1503" i="31" a="1"/>
  <c r="X1503" i="31"/>
  <c r="X1502" i="31" a="1"/>
  <c r="X1502" i="31"/>
  <c r="X1501" i="31" a="1"/>
  <c r="X1501" i="31"/>
  <c r="X1500" i="31" a="1"/>
  <c r="X1500" i="31"/>
  <c r="X1499" i="31" a="1"/>
  <c r="X1499" i="31"/>
  <c r="X1498" i="31" a="1"/>
  <c r="X1498" i="31"/>
  <c r="X1497" i="31" a="1"/>
  <c r="X1497" i="31"/>
  <c r="X1496" i="31" a="1"/>
  <c r="X1496" i="31"/>
  <c r="X1495" i="31" a="1"/>
  <c r="X1495" i="31"/>
  <c r="X1494" i="31" a="1"/>
  <c r="X1494" i="31"/>
  <c r="X1493" i="31" a="1"/>
  <c r="X1493" i="31"/>
  <c r="X1492" i="31" a="1"/>
  <c r="X1492" i="31"/>
  <c r="X1491" i="31" a="1"/>
  <c r="X1491" i="31"/>
  <c r="X1490" i="31" a="1"/>
  <c r="X1490" i="31"/>
  <c r="X1489" i="31" a="1"/>
  <c r="X1489" i="31"/>
  <c r="X1488" i="31" a="1"/>
  <c r="X1488" i="31"/>
  <c r="X1487" i="31" a="1"/>
  <c r="X1487" i="31"/>
  <c r="X1486" i="31" a="1"/>
  <c r="X1486" i="31"/>
  <c r="X1485" i="31" a="1"/>
  <c r="X1485" i="31"/>
  <c r="X1484" i="31" a="1"/>
  <c r="X1484" i="31"/>
  <c r="X1483" i="31" a="1"/>
  <c r="X1483" i="31"/>
  <c r="X1482" i="31" a="1"/>
  <c r="X1482" i="31"/>
  <c r="X1481" i="31" a="1"/>
  <c r="X1481" i="31"/>
  <c r="X1480" i="31" a="1"/>
  <c r="X1480" i="31"/>
  <c r="X1479" i="31" a="1"/>
  <c r="X1479" i="31"/>
  <c r="X1478" i="31" a="1"/>
  <c r="X1478" i="31"/>
  <c r="X1477" i="31" a="1"/>
  <c r="X1477" i="31"/>
  <c r="X1476" i="31" a="1"/>
  <c r="X1476" i="31"/>
  <c r="X1475" i="31" a="1"/>
  <c r="X1475" i="31"/>
  <c r="X1474" i="31" a="1"/>
  <c r="X1474" i="31"/>
  <c r="X1473" i="31" a="1"/>
  <c r="X1473" i="31"/>
  <c r="X1472" i="31" a="1"/>
  <c r="X1472" i="31"/>
  <c r="X1471" i="31" a="1"/>
  <c r="X1471" i="31"/>
  <c r="X1470" i="31" a="1"/>
  <c r="X1470" i="31"/>
  <c r="X1469" i="31" a="1"/>
  <c r="X1469" i="31"/>
  <c r="X1468" i="31" a="1"/>
  <c r="X1468" i="31"/>
  <c r="X1467" i="31" a="1"/>
  <c r="X1467" i="31"/>
  <c r="X1466" i="31" a="1"/>
  <c r="X1466" i="31"/>
  <c r="X1465" i="31" a="1"/>
  <c r="X1465" i="31"/>
  <c r="X1464" i="31" a="1"/>
  <c r="X1464" i="31"/>
  <c r="X1463" i="31" a="1"/>
  <c r="X1463" i="31"/>
  <c r="X1462" i="31" a="1"/>
  <c r="X1462" i="31"/>
  <c r="X1461" i="31" a="1"/>
  <c r="X1461" i="31"/>
  <c r="X1460" i="31" a="1"/>
  <c r="X1460" i="31"/>
  <c r="X1459" i="31" a="1"/>
  <c r="X1459" i="31"/>
  <c r="X1458" i="31" a="1"/>
  <c r="X1458" i="31"/>
  <c r="X1457" i="31" a="1"/>
  <c r="X1457" i="31"/>
  <c r="X1456" i="31" a="1"/>
  <c r="X1456" i="31"/>
  <c r="X1455" i="31" a="1"/>
  <c r="X1455" i="31"/>
  <c r="X1454" i="31" a="1"/>
  <c r="X1454" i="31"/>
  <c r="X1453" i="31" a="1"/>
  <c r="X1453" i="31"/>
  <c r="X1452" i="31" a="1"/>
  <c r="X1452" i="31"/>
  <c r="X1451" i="31" a="1"/>
  <c r="X1451" i="31"/>
  <c r="X1450" i="31" a="1"/>
  <c r="X1450" i="31"/>
  <c r="X1449" i="31" a="1"/>
  <c r="X1449" i="31"/>
  <c r="X1448" i="31" a="1"/>
  <c r="X1448" i="31"/>
  <c r="X1447" i="31" a="1"/>
  <c r="X1447" i="31"/>
  <c r="X1446" i="31" a="1"/>
  <c r="X1446" i="31"/>
  <c r="X1445" i="31" a="1"/>
  <c r="X1445" i="31"/>
  <c r="X1444" i="31" a="1"/>
  <c r="X1444" i="31"/>
  <c r="X1443" i="31" a="1"/>
  <c r="X1443" i="31"/>
  <c r="X1442" i="31" a="1"/>
  <c r="X1442" i="31"/>
  <c r="X1441" i="31" a="1"/>
  <c r="X1441" i="31"/>
  <c r="X1440" i="31" a="1"/>
  <c r="X1440" i="31"/>
  <c r="X1439" i="31" a="1"/>
  <c r="X1439" i="31"/>
  <c r="X1438" i="31" a="1"/>
  <c r="X1438" i="31"/>
  <c r="X1437" i="31" a="1"/>
  <c r="X1437" i="31"/>
  <c r="X1436" i="31" a="1"/>
  <c r="X1436" i="31"/>
  <c r="X1435" i="31" a="1"/>
  <c r="X1435" i="31"/>
  <c r="X1434" i="31" a="1"/>
  <c r="X1434" i="31"/>
  <c r="X1433" i="31" a="1"/>
  <c r="X1433" i="31"/>
  <c r="X1432" i="31" a="1"/>
  <c r="X1432" i="31"/>
  <c r="X1431" i="31" a="1"/>
  <c r="X1431" i="31"/>
  <c r="X1430" i="31" a="1"/>
  <c r="X1430" i="31"/>
  <c r="X1429" i="31" a="1"/>
  <c r="X1429" i="31"/>
  <c r="X1428" i="31" a="1"/>
  <c r="X1428" i="31"/>
  <c r="X1427" i="31" a="1"/>
  <c r="X1427" i="31"/>
  <c r="X1426" i="31" a="1"/>
  <c r="X1426" i="31"/>
  <c r="X1425" i="31" a="1"/>
  <c r="X1425" i="31"/>
  <c r="X1424" i="31" a="1"/>
  <c r="X1424" i="31"/>
  <c r="X1423" i="31" a="1"/>
  <c r="X1423" i="31"/>
  <c r="X1422" i="31" a="1"/>
  <c r="X1422" i="31"/>
  <c r="X1421" i="31" a="1"/>
  <c r="X1421" i="31"/>
  <c r="X1420" i="31" a="1"/>
  <c r="X1420" i="31"/>
  <c r="X1419" i="31" a="1"/>
  <c r="X1419" i="31"/>
  <c r="X1418" i="31" a="1"/>
  <c r="X1418" i="31"/>
  <c r="X1417" i="31" a="1"/>
  <c r="X1417" i="31"/>
  <c r="X1416" i="31" a="1"/>
  <c r="X1416" i="31"/>
  <c r="X1415" i="31" a="1"/>
  <c r="X1415" i="31"/>
  <c r="X1414" i="31" a="1"/>
  <c r="X1414" i="31"/>
  <c r="X1413" i="31" a="1"/>
  <c r="X1413" i="31"/>
  <c r="X1412" i="31" a="1"/>
  <c r="X1412" i="31"/>
  <c r="X1411" i="31" a="1"/>
  <c r="X1411" i="31"/>
  <c r="X1410" i="31" a="1"/>
  <c r="X1410" i="31"/>
  <c r="X1409" i="31" a="1"/>
  <c r="X1409" i="31"/>
  <c r="X1408" i="31" a="1"/>
  <c r="X1408" i="31"/>
  <c r="X1407" i="31" a="1"/>
  <c r="X1407" i="31"/>
  <c r="X1406" i="31" a="1"/>
  <c r="X1406" i="31"/>
  <c r="X1405" i="31" a="1"/>
  <c r="X1405" i="31"/>
  <c r="X1404" i="31" a="1"/>
  <c r="X1404" i="31"/>
  <c r="X1403" i="31" a="1"/>
  <c r="X1403" i="31"/>
  <c r="X1402" i="31" a="1"/>
  <c r="X1402" i="31"/>
  <c r="X1401" i="31" a="1"/>
  <c r="X1401" i="31"/>
  <c r="X1400" i="31" a="1"/>
  <c r="X1400" i="31"/>
  <c r="X1399" i="31" a="1"/>
  <c r="X1399" i="31"/>
  <c r="X1398" i="31" a="1"/>
  <c r="X1398" i="31"/>
  <c r="X1397" i="31" a="1"/>
  <c r="X1397" i="31"/>
  <c r="X1396" i="31" a="1"/>
  <c r="X1396" i="31"/>
  <c r="X1395" i="31" a="1"/>
  <c r="X1395" i="31"/>
  <c r="X1394" i="31" a="1"/>
  <c r="X1394" i="31"/>
  <c r="X1393" i="31" a="1"/>
  <c r="X1393" i="31"/>
  <c r="X1392" i="31" a="1"/>
  <c r="X1392" i="31"/>
  <c r="X1391" i="31" a="1"/>
  <c r="X1391" i="31"/>
  <c r="X1390" i="31" a="1"/>
  <c r="X1390" i="31"/>
  <c r="X1389" i="31" a="1"/>
  <c r="X1389" i="31"/>
  <c r="X1388" i="31" a="1"/>
  <c r="X1388" i="31"/>
  <c r="X1387" i="31" a="1"/>
  <c r="X1387" i="31"/>
  <c r="X1386" i="31" a="1"/>
  <c r="X1386" i="31"/>
  <c r="X1385" i="31" a="1"/>
  <c r="X1385" i="31"/>
  <c r="X1384" i="31" a="1"/>
  <c r="X1384" i="31"/>
  <c r="X1383" i="31" a="1"/>
  <c r="X1383" i="31"/>
  <c r="X1382" i="31" a="1"/>
  <c r="X1382" i="31"/>
  <c r="X1381" i="31" a="1"/>
  <c r="X1381" i="31"/>
  <c r="X1380" i="31" a="1"/>
  <c r="X1380" i="31"/>
  <c r="X1379" i="31" a="1"/>
  <c r="X1379" i="31"/>
  <c r="X1378" i="31" a="1"/>
  <c r="X1378" i="31"/>
  <c r="X1377" i="31" a="1"/>
  <c r="X1377" i="31"/>
  <c r="X1376" i="31" a="1"/>
  <c r="X1376" i="31"/>
  <c r="X1375" i="31" a="1"/>
  <c r="X1375" i="31"/>
  <c r="X1374" i="31" a="1"/>
  <c r="X1374" i="31"/>
  <c r="X1373" i="31" a="1"/>
  <c r="X1373" i="31"/>
  <c r="X1372" i="31" a="1"/>
  <c r="X1372" i="31"/>
  <c r="X1371" i="31" a="1"/>
  <c r="X1371" i="31"/>
  <c r="X1370" i="31" a="1"/>
  <c r="X1370" i="31"/>
  <c r="X1369" i="31" a="1"/>
  <c r="X1369" i="31"/>
  <c r="X1368" i="31" a="1"/>
  <c r="X1368" i="31"/>
  <c r="X1367" i="31" a="1"/>
  <c r="X1367" i="31"/>
  <c r="X1366" i="31" a="1"/>
  <c r="X1366" i="31"/>
  <c r="X1365" i="31" a="1"/>
  <c r="X1365" i="31"/>
  <c r="X1364" i="31" a="1"/>
  <c r="X1364" i="31"/>
  <c r="X1363" i="31" a="1"/>
  <c r="X1363" i="31"/>
  <c r="X1362" i="31" a="1"/>
  <c r="X1362" i="31"/>
  <c r="X1361" i="31" a="1"/>
  <c r="X1361" i="31"/>
  <c r="X1360" i="31" a="1"/>
  <c r="X1360" i="31"/>
  <c r="X1359" i="31" a="1"/>
  <c r="X1359" i="31"/>
  <c r="X1358" i="31" a="1"/>
  <c r="X1358" i="31"/>
  <c r="X1357" i="31" a="1"/>
  <c r="X1357" i="31"/>
  <c r="X1356" i="31" a="1"/>
  <c r="X1356" i="31"/>
  <c r="X1355" i="31" a="1"/>
  <c r="X1355" i="31"/>
  <c r="X1354" i="31" a="1"/>
  <c r="X1354" i="31"/>
  <c r="X1353" i="31" a="1"/>
  <c r="X1353" i="31"/>
  <c r="X1352" i="31" a="1"/>
  <c r="X1352" i="31"/>
  <c r="X1351" i="31" a="1"/>
  <c r="X1351" i="31"/>
  <c r="X1350" i="31" a="1"/>
  <c r="X1350" i="31"/>
  <c r="X1349" i="31" a="1"/>
  <c r="X1349" i="31"/>
  <c r="X1348" i="31" a="1"/>
  <c r="X1348" i="31"/>
  <c r="X1347" i="31" a="1"/>
  <c r="X1347" i="31"/>
  <c r="X1346" i="31" a="1"/>
  <c r="X1346" i="31"/>
  <c r="X1345" i="31" a="1"/>
  <c r="X1345" i="31"/>
  <c r="X1344" i="31" a="1"/>
  <c r="X1344" i="31"/>
  <c r="X1343" i="31" a="1"/>
  <c r="X1343" i="31"/>
  <c r="X1342" i="31" a="1"/>
  <c r="X1342" i="31"/>
  <c r="X1341" i="31" a="1"/>
  <c r="X1341" i="31"/>
  <c r="X1340" i="31" a="1"/>
  <c r="X1340" i="31"/>
  <c r="X1339" i="31" a="1"/>
  <c r="X1339" i="31"/>
  <c r="X1338" i="31" a="1"/>
  <c r="X1338" i="31"/>
  <c r="X1337" i="31" a="1"/>
  <c r="X1337" i="31"/>
  <c r="X1336" i="31" a="1"/>
  <c r="X1336" i="31"/>
  <c r="X1335" i="31" a="1"/>
  <c r="X1335" i="31"/>
  <c r="X1334" i="31" a="1"/>
  <c r="X1334" i="31"/>
  <c r="X1333" i="31" a="1"/>
  <c r="X1333" i="31"/>
  <c r="X1332" i="31" a="1"/>
  <c r="X1332" i="31"/>
  <c r="X1331" i="31" a="1"/>
  <c r="X1331" i="31"/>
  <c r="X1330" i="31" a="1"/>
  <c r="X1330" i="31"/>
  <c r="X1329" i="31" a="1"/>
  <c r="X1329" i="31"/>
  <c r="X1328" i="31" a="1"/>
  <c r="X1328" i="31"/>
  <c r="X1327" i="31" a="1"/>
  <c r="X1327" i="31"/>
  <c r="X1326" i="31" a="1"/>
  <c r="X1326" i="31"/>
  <c r="X1325" i="31" a="1"/>
  <c r="X1325" i="31"/>
  <c r="X1324" i="31" a="1"/>
  <c r="X1324" i="31"/>
  <c r="X1323" i="31" a="1"/>
  <c r="X1323" i="31"/>
  <c r="X1322" i="31" a="1"/>
  <c r="X1322" i="31"/>
  <c r="X1321" i="31" a="1"/>
  <c r="X1321" i="31"/>
  <c r="X1320" i="31" a="1"/>
  <c r="X1320" i="31"/>
  <c r="X1319" i="31" a="1"/>
  <c r="X1319" i="31"/>
  <c r="X1318" i="31" a="1"/>
  <c r="X1318" i="31"/>
  <c r="X1317" i="31" a="1"/>
  <c r="X1317" i="31"/>
  <c r="X1316" i="31" a="1"/>
  <c r="X1316" i="31"/>
  <c r="X1315" i="31" a="1"/>
  <c r="X1315" i="31"/>
  <c r="X1314" i="31" a="1"/>
  <c r="X1314" i="31"/>
  <c r="X1313" i="31" a="1"/>
  <c r="X1313" i="31"/>
  <c r="X1312" i="31" a="1"/>
  <c r="X1312" i="31"/>
  <c r="X1311" i="31" a="1"/>
  <c r="X1311" i="31"/>
  <c r="X1310" i="31" a="1"/>
  <c r="X1310" i="31"/>
  <c r="X1309" i="31" a="1"/>
  <c r="X1309" i="31"/>
  <c r="X1308" i="31" a="1"/>
  <c r="X1308" i="31"/>
  <c r="X1307" i="31" a="1"/>
  <c r="X1307" i="31"/>
  <c r="X1306" i="31" a="1"/>
  <c r="X1306" i="31"/>
  <c r="X1305" i="31" a="1"/>
  <c r="X1305" i="31"/>
  <c r="X1304" i="31" a="1"/>
  <c r="X1304" i="31"/>
  <c r="X1303" i="31" a="1"/>
  <c r="X1303" i="31"/>
  <c r="X1302" i="31" a="1"/>
  <c r="X1302" i="31"/>
  <c r="X1301" i="31" a="1"/>
  <c r="X1301" i="31"/>
  <c r="X1300" i="31" a="1"/>
  <c r="X1300" i="31"/>
  <c r="X1299" i="31" a="1"/>
  <c r="X1299" i="31"/>
  <c r="X1298" i="31" a="1"/>
  <c r="X1298" i="31"/>
  <c r="X1297" i="31" a="1"/>
  <c r="X1297" i="31"/>
  <c r="X1296" i="31" a="1"/>
  <c r="X1296" i="31"/>
  <c r="X1295" i="31" a="1"/>
  <c r="X1295" i="31"/>
  <c r="X1294" i="31" a="1"/>
  <c r="X1294" i="31"/>
  <c r="X1293" i="31" a="1"/>
  <c r="X1293" i="31"/>
  <c r="X1292" i="31" a="1"/>
  <c r="X1292" i="31"/>
  <c r="X1291" i="31" a="1"/>
  <c r="X1291" i="31"/>
  <c r="X1290" i="31" a="1"/>
  <c r="X1290" i="31"/>
  <c r="X1289" i="31" a="1"/>
  <c r="X1289" i="31"/>
  <c r="X1288" i="31" a="1"/>
  <c r="X1288" i="31"/>
  <c r="X1287" i="31" a="1"/>
  <c r="X1287" i="31"/>
  <c r="X1286" i="31" a="1"/>
  <c r="X1286" i="31"/>
  <c r="X1285" i="31" a="1"/>
  <c r="X1285" i="31"/>
  <c r="X1284" i="31" a="1"/>
  <c r="X1284" i="31"/>
  <c r="X1283" i="31" a="1"/>
  <c r="X1283" i="31"/>
  <c r="X1282" i="31" a="1"/>
  <c r="X1282" i="31"/>
  <c r="X1281" i="31" a="1"/>
  <c r="X1281" i="31"/>
  <c r="X1280" i="31" a="1"/>
  <c r="X1280" i="31"/>
  <c r="X1279" i="31" a="1"/>
  <c r="X1279" i="31"/>
  <c r="X1278" i="31" a="1"/>
  <c r="X1278" i="31"/>
  <c r="X1277" i="31" a="1"/>
  <c r="X1277" i="31"/>
  <c r="X1276" i="31" a="1"/>
  <c r="X1276" i="31"/>
  <c r="X1275" i="31" a="1"/>
  <c r="X1275" i="31"/>
  <c r="X1274" i="31" a="1"/>
  <c r="X1274" i="31"/>
  <c r="X1273" i="31" a="1"/>
  <c r="X1273" i="31"/>
  <c r="X1272" i="31" a="1"/>
  <c r="X1272" i="31"/>
  <c r="X1271" i="31" a="1"/>
  <c r="X1271" i="31"/>
  <c r="X1270" i="31" a="1"/>
  <c r="X1270" i="31"/>
  <c r="X1269" i="31" a="1"/>
  <c r="X1269" i="31"/>
  <c r="X1268" i="31" a="1"/>
  <c r="X1268" i="31"/>
  <c r="X1267" i="31" a="1"/>
  <c r="X1267" i="31"/>
  <c r="X1266" i="31" a="1"/>
  <c r="X1266" i="31"/>
  <c r="X1265" i="31" a="1"/>
  <c r="X1265" i="31"/>
  <c r="X1264" i="31" a="1"/>
  <c r="X1264" i="31"/>
  <c r="X1263" i="31" a="1"/>
  <c r="X1263" i="31"/>
  <c r="X1262" i="31" a="1"/>
  <c r="X1262" i="31"/>
  <c r="X1261" i="31" a="1"/>
  <c r="X1261" i="31"/>
  <c r="X1260" i="31" a="1"/>
  <c r="X1260" i="31"/>
  <c r="X1259" i="31" a="1"/>
  <c r="X1259" i="31"/>
  <c r="X1258" i="31" a="1"/>
  <c r="X1258" i="31"/>
  <c r="X1257" i="31" a="1"/>
  <c r="X1257" i="31"/>
  <c r="X1256" i="31" a="1"/>
  <c r="X1256" i="31"/>
  <c r="X1255" i="31" a="1"/>
  <c r="X1255" i="31"/>
  <c r="X1254" i="31" a="1"/>
  <c r="X1254" i="31"/>
  <c r="X1253" i="31" a="1"/>
  <c r="X1253" i="31"/>
  <c r="X1252" i="31" a="1"/>
  <c r="X1252" i="31"/>
  <c r="X1251" i="31" a="1"/>
  <c r="X1251" i="31"/>
  <c r="X1250" i="31" a="1"/>
  <c r="X1250" i="31"/>
  <c r="X1249" i="31" a="1"/>
  <c r="X1249" i="31"/>
  <c r="X1248" i="31" a="1"/>
  <c r="X1248" i="31"/>
  <c r="X1247" i="31" a="1"/>
  <c r="X1247" i="31"/>
  <c r="X1246" i="31" a="1"/>
  <c r="X1246" i="31"/>
  <c r="X1245" i="31" a="1"/>
  <c r="X1245" i="31"/>
  <c r="X1244" i="31" a="1"/>
  <c r="X1244" i="31"/>
  <c r="X1243" i="31" a="1"/>
  <c r="X1243" i="31"/>
  <c r="X1242" i="31" a="1"/>
  <c r="X1242" i="31"/>
  <c r="X1241" i="31" a="1"/>
  <c r="X1241" i="31"/>
  <c r="X1240" i="31" a="1"/>
  <c r="X1240" i="31"/>
  <c r="X1239" i="31" a="1"/>
  <c r="X1239" i="31"/>
  <c r="X1238" i="31" a="1"/>
  <c r="X1238" i="31"/>
  <c r="X1237" i="31" a="1"/>
  <c r="X1237" i="31"/>
  <c r="X1236" i="31" a="1"/>
  <c r="X1236" i="31"/>
  <c r="X1235" i="31" a="1"/>
  <c r="X1235" i="31"/>
  <c r="X1234" i="31" a="1"/>
  <c r="X1234" i="31"/>
  <c r="X1233" i="31" a="1"/>
  <c r="X1233" i="31"/>
  <c r="X1232" i="31" a="1"/>
  <c r="X1232" i="31"/>
  <c r="X1231" i="31" a="1"/>
  <c r="X1231" i="31"/>
  <c r="X1230" i="31" a="1"/>
  <c r="X1230" i="31"/>
  <c r="X1229" i="31" a="1"/>
  <c r="X1229" i="31"/>
  <c r="X1228" i="31" a="1"/>
  <c r="X1228" i="31"/>
  <c r="X1227" i="31" a="1"/>
  <c r="X1227" i="31"/>
  <c r="X1226" i="31" a="1"/>
  <c r="X1226" i="31"/>
  <c r="X1225" i="31" a="1"/>
  <c r="X1225" i="31"/>
  <c r="X1224" i="31" a="1"/>
  <c r="X1224" i="31"/>
  <c r="X1223" i="31" a="1"/>
  <c r="X1223" i="31"/>
  <c r="X1222" i="31" a="1"/>
  <c r="X1222" i="31"/>
  <c r="X1221" i="31" a="1"/>
  <c r="X1221" i="31"/>
  <c r="X1220" i="31" a="1"/>
  <c r="X1220" i="31"/>
  <c r="X1219" i="31" a="1"/>
  <c r="X1219" i="31"/>
  <c r="X1218" i="31" a="1"/>
  <c r="X1218" i="31"/>
  <c r="X1217" i="31" a="1"/>
  <c r="X1217" i="31"/>
  <c r="X1216" i="31" a="1"/>
  <c r="X1216" i="31"/>
  <c r="X1215" i="31" a="1"/>
  <c r="X1215" i="31"/>
  <c r="X1214" i="31" a="1"/>
  <c r="X1214" i="31"/>
  <c r="X1213" i="31" a="1"/>
  <c r="X1213" i="31"/>
  <c r="X1212" i="31" a="1"/>
  <c r="X1212" i="31"/>
  <c r="X1211" i="31" a="1"/>
  <c r="X1211" i="31"/>
  <c r="X1210" i="31" a="1"/>
  <c r="X1210" i="31"/>
  <c r="X1209" i="31" a="1"/>
  <c r="X1209" i="31"/>
  <c r="X1208" i="31" a="1"/>
  <c r="X1208" i="31"/>
  <c r="X1207" i="31" a="1"/>
  <c r="X1207" i="31"/>
  <c r="X1206" i="31" a="1"/>
  <c r="X1206" i="31"/>
  <c r="X1205" i="31" a="1"/>
  <c r="X1205" i="31"/>
  <c r="X1204" i="31" a="1"/>
  <c r="X1204" i="31"/>
  <c r="X1203" i="31" a="1"/>
  <c r="X1203" i="31"/>
  <c r="X1202" i="31" a="1"/>
  <c r="X1202" i="31"/>
  <c r="X1201" i="31" a="1"/>
  <c r="X1201" i="31"/>
  <c r="X1200" i="31" a="1"/>
  <c r="X1200" i="31"/>
  <c r="X1199" i="31" a="1"/>
  <c r="X1199" i="31"/>
  <c r="X1198" i="31" a="1"/>
  <c r="X1198" i="31"/>
  <c r="X1197" i="31" a="1"/>
  <c r="X1197" i="31"/>
  <c r="X1196" i="31" a="1"/>
  <c r="X1196" i="31"/>
  <c r="X1195" i="31" a="1"/>
  <c r="X1195" i="31"/>
  <c r="X1194" i="31" a="1"/>
  <c r="X1194" i="31"/>
  <c r="X1193" i="31" a="1"/>
  <c r="X1193" i="31"/>
  <c r="X1192" i="31" a="1"/>
  <c r="X1192" i="31"/>
  <c r="X1191" i="31" a="1"/>
  <c r="X1191" i="31"/>
  <c r="X1190" i="31" a="1"/>
  <c r="X1190" i="31"/>
  <c r="X1189" i="31" a="1"/>
  <c r="X1189" i="31"/>
  <c r="X1188" i="31" a="1"/>
  <c r="X1188" i="31"/>
  <c r="X1187" i="31" a="1"/>
  <c r="X1187" i="31"/>
  <c r="X1186" i="31" a="1"/>
  <c r="X1186" i="31"/>
  <c r="X1185" i="31" a="1"/>
  <c r="X1185" i="31"/>
  <c r="X1184" i="31" a="1"/>
  <c r="X1184" i="31"/>
  <c r="X1183" i="31" a="1"/>
  <c r="X1183" i="31"/>
  <c r="X1182" i="31" a="1"/>
  <c r="X1182" i="31"/>
  <c r="X1181" i="31" a="1"/>
  <c r="X1181" i="31"/>
  <c r="X1180" i="31" a="1"/>
  <c r="X1180" i="31"/>
  <c r="X1179" i="31" a="1"/>
  <c r="X1179" i="31"/>
  <c r="X1178" i="31" a="1"/>
  <c r="X1178" i="31"/>
  <c r="X1177" i="31" a="1"/>
  <c r="X1177" i="31"/>
  <c r="X1176" i="31" a="1"/>
  <c r="X1176" i="31"/>
  <c r="X1175" i="31" a="1"/>
  <c r="X1175" i="31"/>
  <c r="X1174" i="31" a="1"/>
  <c r="X1174" i="31"/>
  <c r="X1173" i="31" a="1"/>
  <c r="X1173" i="31"/>
  <c r="X1172" i="31" a="1"/>
  <c r="X1172" i="31"/>
  <c r="X1171" i="31" a="1"/>
  <c r="X1171" i="31"/>
  <c r="X1170" i="31" a="1"/>
  <c r="X1170" i="31"/>
  <c r="X1169" i="31" a="1"/>
  <c r="X1169" i="31"/>
  <c r="X1168" i="31" a="1"/>
  <c r="X1168" i="31"/>
  <c r="X1167" i="31" a="1"/>
  <c r="X1167" i="31"/>
  <c r="X1166" i="31" a="1"/>
  <c r="X1166" i="31"/>
  <c r="X1165" i="31" a="1"/>
  <c r="X1165" i="31"/>
  <c r="X1164" i="31" a="1"/>
  <c r="X1164" i="31"/>
  <c r="X1163" i="31" a="1"/>
  <c r="X1163" i="31"/>
  <c r="X1162" i="31" a="1"/>
  <c r="X1162" i="31"/>
  <c r="X1161" i="31" a="1"/>
  <c r="X1161" i="31"/>
  <c r="X1160" i="31" a="1"/>
  <c r="X1160" i="31"/>
  <c r="X1159" i="31" a="1"/>
  <c r="X1159" i="31"/>
  <c r="X1158" i="31" a="1"/>
  <c r="X1158" i="31"/>
  <c r="X1157" i="31" a="1"/>
  <c r="X1157" i="31"/>
  <c r="X1156" i="31" a="1"/>
  <c r="X1156" i="31"/>
  <c r="X1155" i="31" a="1"/>
  <c r="X1155" i="31"/>
  <c r="X1154" i="31" a="1"/>
  <c r="X1154" i="31"/>
  <c r="X1153" i="31" a="1"/>
  <c r="X1153" i="31"/>
  <c r="X1152" i="31" a="1"/>
  <c r="X1152" i="31"/>
  <c r="X1151" i="31" a="1"/>
  <c r="X1151" i="31"/>
  <c r="X1150" i="31" a="1"/>
  <c r="X1150" i="31"/>
  <c r="X1149" i="31" a="1"/>
  <c r="X1149" i="31"/>
  <c r="X1148" i="31" a="1"/>
  <c r="X1148" i="31"/>
  <c r="X1147" i="31" a="1"/>
  <c r="X1147" i="31"/>
  <c r="X1146" i="31" a="1"/>
  <c r="X1146" i="31"/>
  <c r="X1145" i="31" a="1"/>
  <c r="X1145" i="31"/>
  <c r="X1144" i="31" a="1"/>
  <c r="X1144" i="31"/>
  <c r="X1143" i="31" a="1"/>
  <c r="X1143" i="31"/>
  <c r="X1142" i="31" a="1"/>
  <c r="X1142" i="31"/>
  <c r="X1141" i="31" a="1"/>
  <c r="X1141" i="31"/>
  <c r="X1140" i="31" a="1"/>
  <c r="X1140" i="31"/>
  <c r="X1139" i="31" a="1"/>
  <c r="X1139" i="31"/>
  <c r="X1138" i="31" a="1"/>
  <c r="X1138" i="31"/>
  <c r="X1137" i="31" a="1"/>
  <c r="X1137" i="31"/>
  <c r="X1136" i="31" a="1"/>
  <c r="X1136" i="31"/>
  <c r="X1135" i="31" a="1"/>
  <c r="X1135" i="31"/>
  <c r="X1134" i="31" a="1"/>
  <c r="X1134" i="31"/>
  <c r="X1133" i="31" a="1"/>
  <c r="X1133" i="31"/>
  <c r="X1132" i="31" a="1"/>
  <c r="X1132" i="31"/>
  <c r="X1131" i="31" a="1"/>
  <c r="X1131" i="31"/>
  <c r="X1130" i="31" a="1"/>
  <c r="X1130" i="31"/>
  <c r="X1129" i="31" a="1"/>
  <c r="X1129" i="31"/>
  <c r="X1128" i="31" a="1"/>
  <c r="X1128" i="31"/>
  <c r="X1127" i="31" a="1"/>
  <c r="X1127" i="31"/>
  <c r="X1126" i="31" a="1"/>
  <c r="X1126" i="31"/>
  <c r="X1125" i="31" a="1"/>
  <c r="X1125" i="31"/>
  <c r="X1124" i="31" a="1"/>
  <c r="X1124" i="31"/>
  <c r="X1123" i="31" a="1"/>
  <c r="X1123" i="31"/>
  <c r="X1122" i="31" a="1"/>
  <c r="X1122" i="31"/>
  <c r="X1121" i="31" a="1"/>
  <c r="X1121" i="31"/>
  <c r="X1120" i="31" a="1"/>
  <c r="X1120" i="31"/>
  <c r="X1119" i="31" a="1"/>
  <c r="X1119" i="31"/>
  <c r="X1118" i="31" a="1"/>
  <c r="X1118" i="31"/>
  <c r="X1117" i="31" a="1"/>
  <c r="X1117" i="31"/>
  <c r="X1116" i="31" a="1"/>
  <c r="X1116" i="31"/>
  <c r="X1115" i="31" a="1"/>
  <c r="X1115" i="31"/>
  <c r="X1114" i="31" a="1"/>
  <c r="X1114" i="31"/>
  <c r="X1113" i="31" a="1"/>
  <c r="X1113" i="31"/>
  <c r="X1112" i="31" a="1"/>
  <c r="X1112" i="31"/>
  <c r="X1111" i="31" a="1"/>
  <c r="X1111" i="31"/>
  <c r="X1110" i="31" a="1"/>
  <c r="X1110" i="31"/>
  <c r="X1109" i="31" a="1"/>
  <c r="X1109" i="31"/>
  <c r="X1108" i="31" a="1"/>
  <c r="X1108" i="31"/>
  <c r="X1107" i="31" a="1"/>
  <c r="X1107" i="31"/>
  <c r="X1106" i="31" a="1"/>
  <c r="X1106" i="31"/>
  <c r="X1105" i="31" a="1"/>
  <c r="X1105" i="31"/>
  <c r="X1104" i="31" a="1"/>
  <c r="X1104" i="31"/>
  <c r="X1103" i="31" a="1"/>
  <c r="X1103" i="31"/>
  <c r="X1102" i="31" a="1"/>
  <c r="X1102" i="31"/>
  <c r="X1101" i="31" a="1"/>
  <c r="X1101" i="31"/>
  <c r="X1100" i="31" a="1"/>
  <c r="X1100" i="31"/>
  <c r="X1099" i="31" a="1"/>
  <c r="X1099" i="31"/>
  <c r="X1098" i="31" a="1"/>
  <c r="X1098" i="31"/>
  <c r="X1097" i="31" a="1"/>
  <c r="X1097" i="31"/>
  <c r="X1096" i="31" a="1"/>
  <c r="X1096" i="31"/>
  <c r="X1095" i="31" a="1"/>
  <c r="X1095" i="31"/>
  <c r="X1094" i="31" a="1"/>
  <c r="X1094" i="31"/>
  <c r="X1093" i="31" a="1"/>
  <c r="X1093" i="31"/>
  <c r="X1092" i="31" a="1"/>
  <c r="X1092" i="31"/>
  <c r="X1091" i="31" a="1"/>
  <c r="X1091" i="31"/>
  <c r="X1090" i="31" a="1"/>
  <c r="X1090" i="31"/>
  <c r="X1089" i="31" a="1"/>
  <c r="X1089" i="31"/>
  <c r="X1088" i="31" a="1"/>
  <c r="X1088" i="31"/>
  <c r="X1087" i="31" a="1"/>
  <c r="X1087" i="31"/>
  <c r="X1086" i="31" a="1"/>
  <c r="X1086" i="31"/>
  <c r="X1085" i="31" a="1"/>
  <c r="X1085" i="31"/>
  <c r="X1084" i="31" a="1"/>
  <c r="X1084" i="31"/>
  <c r="X1083" i="31" a="1"/>
  <c r="X1083" i="31"/>
  <c r="X1082" i="31" a="1"/>
  <c r="X1082" i="31"/>
  <c r="X1081" i="31" a="1"/>
  <c r="X1081" i="31"/>
  <c r="X1080" i="31" a="1"/>
  <c r="X1080" i="31"/>
  <c r="X1079" i="31" a="1"/>
  <c r="X1079" i="31"/>
  <c r="X1078" i="31" a="1"/>
  <c r="X1078" i="31"/>
  <c r="X1077" i="31" a="1"/>
  <c r="X1077" i="31"/>
  <c r="X1076" i="31" a="1"/>
  <c r="X1076" i="31"/>
  <c r="X1075" i="31" a="1"/>
  <c r="X1075" i="31"/>
  <c r="X1074" i="31" a="1"/>
  <c r="X1074" i="31"/>
  <c r="X1073" i="31" a="1"/>
  <c r="X1073" i="31"/>
  <c r="X1072" i="31" a="1"/>
  <c r="X1072" i="31"/>
  <c r="X1071" i="31" a="1"/>
  <c r="X1071" i="31"/>
  <c r="X1070" i="31" a="1"/>
  <c r="X1070" i="31"/>
  <c r="X1069" i="31" a="1"/>
  <c r="X1069" i="31"/>
  <c r="X1068" i="31" a="1"/>
  <c r="X1068" i="31"/>
  <c r="X1067" i="31" a="1"/>
  <c r="X1067" i="31"/>
  <c r="X1066" i="31" a="1"/>
  <c r="X1066" i="31"/>
  <c r="X1065" i="31" a="1"/>
  <c r="X1065" i="31"/>
  <c r="X1064" i="31" a="1"/>
  <c r="X1064" i="31"/>
  <c r="X1063" i="31" a="1"/>
  <c r="X1063" i="31"/>
  <c r="X1062" i="31" a="1"/>
  <c r="X1062" i="31"/>
  <c r="X1061" i="31" a="1"/>
  <c r="X1061" i="31"/>
  <c r="X1060" i="31" a="1"/>
  <c r="X1060" i="31"/>
  <c r="X1059" i="31" a="1"/>
  <c r="X1059" i="31"/>
  <c r="X1058" i="31" a="1"/>
  <c r="X1058" i="31"/>
  <c r="X1057" i="31" a="1"/>
  <c r="X1057" i="31"/>
  <c r="X1056" i="31" a="1"/>
  <c r="X1056" i="31"/>
  <c r="X1055" i="31" a="1"/>
  <c r="X1055" i="31"/>
  <c r="X1054" i="31" a="1"/>
  <c r="X1054" i="31"/>
  <c r="X1053" i="31" a="1"/>
  <c r="X1053" i="31"/>
  <c r="X1052" i="31" a="1"/>
  <c r="X1052" i="31"/>
  <c r="X1051" i="31" a="1"/>
  <c r="X1051" i="31"/>
  <c r="X1050" i="31" a="1"/>
  <c r="X1050" i="31"/>
  <c r="X1049" i="31" a="1"/>
  <c r="X1049" i="31"/>
  <c r="X1048" i="31" a="1"/>
  <c r="X1048" i="31"/>
  <c r="X1047" i="31" a="1"/>
  <c r="X1047" i="31"/>
  <c r="X1046" i="31" a="1"/>
  <c r="X1046" i="31"/>
  <c r="X1045" i="31" a="1"/>
  <c r="X1045" i="31"/>
  <c r="X1044" i="31" a="1"/>
  <c r="X1044" i="31"/>
  <c r="X1043" i="31" a="1"/>
  <c r="X1043" i="31"/>
  <c r="X1042" i="31" a="1"/>
  <c r="X1042" i="31"/>
  <c r="X1041" i="31" a="1"/>
  <c r="X1041" i="31"/>
  <c r="X1040" i="31" a="1"/>
  <c r="X1040" i="31"/>
  <c r="X1039" i="31" a="1"/>
  <c r="X1039" i="31"/>
  <c r="X1038" i="31" a="1"/>
  <c r="X1038" i="31"/>
  <c r="X1037" i="31" a="1"/>
  <c r="X1037" i="31"/>
  <c r="X1036" i="31" a="1"/>
  <c r="X1036" i="31"/>
  <c r="X1035" i="31" a="1"/>
  <c r="X1035" i="31"/>
  <c r="X1034" i="31" a="1"/>
  <c r="X1034" i="31"/>
  <c r="X1033" i="31" a="1"/>
  <c r="X1033" i="31"/>
  <c r="X1032" i="31" a="1"/>
  <c r="X1032" i="31"/>
  <c r="X1031" i="31" a="1"/>
  <c r="X1031" i="31"/>
  <c r="X1030" i="31" a="1"/>
  <c r="X1030" i="31"/>
  <c r="X1029" i="31" a="1"/>
  <c r="X1029" i="31"/>
  <c r="X1028" i="31" a="1"/>
  <c r="X1028" i="31"/>
  <c r="X1027" i="31" a="1"/>
  <c r="X1027" i="31"/>
  <c r="X1026" i="31" a="1"/>
  <c r="X1026" i="31"/>
  <c r="X1025" i="31" a="1"/>
  <c r="X1025" i="31"/>
  <c r="X1024" i="31" a="1"/>
  <c r="X1024" i="31"/>
  <c r="X1023" i="31" a="1"/>
  <c r="X1023" i="31"/>
  <c r="X1022" i="31" a="1"/>
  <c r="X1022" i="31"/>
  <c r="X1021" i="31" a="1"/>
  <c r="X1021" i="31"/>
  <c r="X1020" i="31" a="1"/>
  <c r="X1020" i="31"/>
  <c r="X1019" i="31" a="1"/>
  <c r="X1019" i="31"/>
  <c r="X1018" i="31" a="1"/>
  <c r="X1018" i="31"/>
  <c r="X1017" i="31" a="1"/>
  <c r="X1017" i="31"/>
  <c r="X1016" i="31" a="1"/>
  <c r="X1016" i="31"/>
  <c r="X1015" i="31" a="1"/>
  <c r="X1015" i="31"/>
  <c r="X1014" i="31" a="1"/>
  <c r="X1014" i="31"/>
  <c r="X1013" i="31" a="1"/>
  <c r="X1013" i="31"/>
  <c r="X1012" i="31" a="1"/>
  <c r="X1012" i="31"/>
  <c r="X1011" i="31" a="1"/>
  <c r="X1011" i="31"/>
  <c r="X1010" i="31" a="1"/>
  <c r="X1010" i="31"/>
  <c r="X1009" i="31" a="1"/>
  <c r="X1009" i="31"/>
  <c r="X1008" i="31" a="1"/>
  <c r="X1008" i="31"/>
  <c r="X1007" i="31" a="1"/>
  <c r="X1007" i="31"/>
  <c r="X1006" i="31" a="1"/>
  <c r="X1006" i="31"/>
  <c r="X1005" i="31" a="1"/>
  <c r="X1005" i="31"/>
  <c r="X1004" i="31" a="1"/>
  <c r="X1004" i="31"/>
  <c r="X1003" i="31" a="1"/>
  <c r="X1003" i="31"/>
  <c r="X1002" i="31" a="1"/>
  <c r="X1002" i="31"/>
  <c r="X1001" i="31" a="1"/>
  <c r="X1001" i="31"/>
  <c r="X1000" i="31" a="1"/>
  <c r="X1000" i="31"/>
  <c r="X999" i="31" a="1"/>
  <c r="X999" i="31"/>
  <c r="X998" i="31" a="1"/>
  <c r="X998" i="31"/>
  <c r="X997" i="31" a="1"/>
  <c r="X997" i="31"/>
  <c r="X996" i="31" a="1"/>
  <c r="X996" i="31"/>
  <c r="X995" i="31" a="1"/>
  <c r="X995" i="31"/>
  <c r="X994" i="31" a="1"/>
  <c r="X994" i="31"/>
  <c r="X993" i="31" a="1"/>
  <c r="X993" i="31"/>
  <c r="X992" i="31" a="1"/>
  <c r="X992" i="31"/>
  <c r="X991" i="31" a="1"/>
  <c r="X991" i="31"/>
  <c r="X990" i="31" a="1"/>
  <c r="X990" i="31"/>
  <c r="X989" i="31" a="1"/>
  <c r="X989" i="31"/>
  <c r="X988" i="31" a="1"/>
  <c r="X988" i="31"/>
  <c r="X987" i="31" a="1"/>
  <c r="X987" i="31"/>
  <c r="X986" i="31" a="1"/>
  <c r="X986" i="31"/>
  <c r="X985" i="31" a="1"/>
  <c r="X985" i="31"/>
  <c r="X984" i="31" a="1"/>
  <c r="X984" i="31"/>
  <c r="X983" i="31" a="1"/>
  <c r="X983" i="31"/>
  <c r="X982" i="31" a="1"/>
  <c r="X982" i="31"/>
  <c r="X981" i="31" a="1"/>
  <c r="X981" i="31"/>
  <c r="X980" i="31" a="1"/>
  <c r="X980" i="31"/>
  <c r="X979" i="31" a="1"/>
  <c r="X979" i="31"/>
  <c r="X978" i="31" a="1"/>
  <c r="X978" i="31"/>
  <c r="X977" i="31" a="1"/>
  <c r="X977" i="31"/>
  <c r="X976" i="31" a="1"/>
  <c r="X976" i="31"/>
  <c r="X975" i="31" a="1"/>
  <c r="X975" i="31"/>
  <c r="X974" i="31" a="1"/>
  <c r="X974" i="31"/>
  <c r="X973" i="31" a="1"/>
  <c r="X973" i="31"/>
  <c r="X972" i="31" a="1"/>
  <c r="X972" i="31"/>
  <c r="X971" i="31" a="1"/>
  <c r="X971" i="31"/>
  <c r="X970" i="31" a="1"/>
  <c r="X970" i="31"/>
  <c r="X969" i="31" a="1"/>
  <c r="X969" i="31"/>
  <c r="X968" i="31" a="1"/>
  <c r="X968" i="31"/>
  <c r="X967" i="31" a="1"/>
  <c r="X967" i="31"/>
  <c r="X966" i="31" a="1"/>
  <c r="X966" i="31"/>
  <c r="X965" i="31" a="1"/>
  <c r="X965" i="31"/>
  <c r="X964" i="31" a="1"/>
  <c r="X964" i="31"/>
  <c r="X963" i="31" a="1"/>
  <c r="X963" i="31"/>
  <c r="X962" i="31" a="1"/>
  <c r="X962" i="31"/>
  <c r="X961" i="31" a="1"/>
  <c r="X961" i="31"/>
  <c r="X960" i="31" a="1"/>
  <c r="X960" i="31"/>
  <c r="X959" i="31" a="1"/>
  <c r="X959" i="31"/>
  <c r="X958" i="31" a="1"/>
  <c r="X958" i="31"/>
  <c r="X957" i="31" a="1"/>
  <c r="X957" i="31"/>
  <c r="X956" i="31" a="1"/>
  <c r="X956" i="31"/>
  <c r="X955" i="31" a="1"/>
  <c r="X955" i="31"/>
  <c r="X954" i="31" a="1"/>
  <c r="X954" i="31"/>
  <c r="X953" i="31" a="1"/>
  <c r="X953" i="31"/>
  <c r="X952" i="31" a="1"/>
  <c r="X952" i="31"/>
  <c r="X951" i="31" a="1"/>
  <c r="X951" i="31"/>
  <c r="X950" i="31" a="1"/>
  <c r="X950" i="31"/>
  <c r="X949" i="31" a="1"/>
  <c r="X949" i="31"/>
  <c r="X948" i="31" a="1"/>
  <c r="X948" i="31"/>
  <c r="X947" i="31" a="1"/>
  <c r="X947" i="31"/>
  <c r="X946" i="31" a="1"/>
  <c r="X946" i="31"/>
  <c r="X945" i="31" a="1"/>
  <c r="X945" i="31"/>
  <c r="X944" i="31" a="1"/>
  <c r="X944" i="31"/>
  <c r="X943" i="31" a="1"/>
  <c r="X943" i="31"/>
  <c r="X942" i="31" a="1"/>
  <c r="X942" i="31"/>
  <c r="X941" i="31" a="1"/>
  <c r="X941" i="31"/>
  <c r="X940" i="31" a="1"/>
  <c r="X940" i="31"/>
  <c r="X939" i="31" a="1"/>
  <c r="X939" i="31"/>
  <c r="X938" i="31" a="1"/>
  <c r="X938" i="31"/>
  <c r="X937" i="31" a="1"/>
  <c r="X937" i="31"/>
  <c r="X936" i="31" a="1"/>
  <c r="X936" i="31"/>
  <c r="X935" i="31" a="1"/>
  <c r="X935" i="31"/>
  <c r="X934" i="31" a="1"/>
  <c r="X934" i="31"/>
  <c r="X933" i="31" a="1"/>
  <c r="X933" i="31"/>
  <c r="X932" i="31" a="1"/>
  <c r="X932" i="31"/>
  <c r="X931" i="31" a="1"/>
  <c r="X931" i="31"/>
  <c r="X930" i="31" a="1"/>
  <c r="X930" i="31"/>
  <c r="X929" i="31" a="1"/>
  <c r="X929" i="31"/>
  <c r="X928" i="31" a="1"/>
  <c r="X928" i="31"/>
  <c r="X927" i="31" a="1"/>
  <c r="X927" i="31"/>
  <c r="X926" i="31" a="1"/>
  <c r="X926" i="31"/>
  <c r="X925" i="31" a="1"/>
  <c r="X925" i="31"/>
  <c r="X924" i="31" a="1"/>
  <c r="X924" i="31"/>
  <c r="X923" i="31" a="1"/>
  <c r="X923" i="31"/>
  <c r="X922" i="31" a="1"/>
  <c r="X922" i="31"/>
  <c r="X921" i="31" a="1"/>
  <c r="X921" i="31"/>
  <c r="X920" i="31" a="1"/>
  <c r="X920" i="31"/>
  <c r="X919" i="31" a="1"/>
  <c r="X919" i="31"/>
  <c r="X918" i="31" a="1"/>
  <c r="X918" i="31"/>
  <c r="X917" i="31" a="1"/>
  <c r="X917" i="31"/>
  <c r="X916" i="31" a="1"/>
  <c r="X916" i="31"/>
  <c r="X915" i="31" a="1"/>
  <c r="X915" i="31"/>
  <c r="X914" i="31" a="1"/>
  <c r="X914" i="31"/>
  <c r="X913" i="31" a="1"/>
  <c r="X913" i="31"/>
  <c r="X912" i="31" a="1"/>
  <c r="X912" i="31"/>
  <c r="X911" i="31" a="1"/>
  <c r="X911" i="31"/>
  <c r="X910" i="31" a="1"/>
  <c r="X910" i="31"/>
  <c r="X909" i="31" a="1"/>
  <c r="X909" i="31"/>
  <c r="X908" i="31" a="1"/>
  <c r="X908" i="31"/>
  <c r="X907" i="31" a="1"/>
  <c r="X907" i="31"/>
  <c r="X906" i="31" a="1"/>
  <c r="X906" i="31"/>
  <c r="X905" i="31" a="1"/>
  <c r="X905" i="31"/>
  <c r="X904" i="31" a="1"/>
  <c r="X904" i="31"/>
  <c r="X903" i="31" a="1"/>
  <c r="X903" i="31"/>
  <c r="X902" i="31" a="1"/>
  <c r="X902" i="31"/>
  <c r="X901" i="31" a="1"/>
  <c r="X901" i="31"/>
  <c r="X900" i="31" a="1"/>
  <c r="X900" i="31"/>
  <c r="X899" i="31" a="1"/>
  <c r="X899" i="31"/>
  <c r="X898" i="31" a="1"/>
  <c r="X898" i="31"/>
  <c r="X897" i="31" a="1"/>
  <c r="X897" i="31"/>
  <c r="X896" i="31" a="1"/>
  <c r="X896" i="31"/>
  <c r="X895" i="31" a="1"/>
  <c r="X895" i="31"/>
  <c r="X894" i="31" a="1"/>
  <c r="X894" i="31"/>
  <c r="X893" i="31" a="1"/>
  <c r="X893" i="31"/>
  <c r="X892" i="31" a="1"/>
  <c r="X892" i="31"/>
  <c r="X891" i="31" a="1"/>
  <c r="X891" i="31"/>
  <c r="X890" i="31" a="1"/>
  <c r="X890" i="31"/>
  <c r="X889" i="31" a="1"/>
  <c r="X889" i="31"/>
  <c r="X888" i="31" a="1"/>
  <c r="X888" i="31"/>
  <c r="X887" i="31" a="1"/>
  <c r="X887" i="31"/>
  <c r="X886" i="31" a="1"/>
  <c r="X886" i="31"/>
  <c r="X885" i="31" a="1"/>
  <c r="X885" i="31"/>
  <c r="X884" i="31" a="1"/>
  <c r="X884" i="31"/>
  <c r="X883" i="31" a="1"/>
  <c r="X883" i="31"/>
  <c r="X882" i="31" a="1"/>
  <c r="X882" i="31"/>
  <c r="X881" i="31" a="1"/>
  <c r="X881" i="31"/>
  <c r="X880" i="31" a="1"/>
  <c r="X880" i="31"/>
  <c r="X879" i="31" a="1"/>
  <c r="X879" i="31"/>
  <c r="X878" i="31" a="1"/>
  <c r="X878" i="31"/>
  <c r="X877" i="31" a="1"/>
  <c r="X877" i="31"/>
  <c r="X876" i="31" a="1"/>
  <c r="X876" i="31"/>
  <c r="X875" i="31" a="1"/>
  <c r="X875" i="31"/>
  <c r="X874" i="31" a="1"/>
  <c r="X874" i="31"/>
  <c r="X873" i="31" a="1"/>
  <c r="X873" i="31"/>
  <c r="X872" i="31" a="1"/>
  <c r="X872" i="31"/>
  <c r="X871" i="31" a="1"/>
  <c r="X871" i="31"/>
  <c r="X870" i="31" a="1"/>
  <c r="X870" i="31"/>
  <c r="X869" i="31" a="1"/>
  <c r="X869" i="31"/>
  <c r="X868" i="31" a="1"/>
  <c r="X868" i="31"/>
  <c r="X867" i="31" a="1"/>
  <c r="X867" i="31"/>
  <c r="X866" i="31" a="1"/>
  <c r="X866" i="31"/>
  <c r="X865" i="31" a="1"/>
  <c r="X865" i="31"/>
  <c r="X864" i="31" a="1"/>
  <c r="X864" i="31"/>
  <c r="X863" i="31" a="1"/>
  <c r="X863" i="31"/>
  <c r="X862" i="31" a="1"/>
  <c r="X862" i="31"/>
  <c r="X861" i="31" a="1"/>
  <c r="X861" i="31"/>
  <c r="X860" i="31" a="1"/>
  <c r="X860" i="31"/>
  <c r="X859" i="31" a="1"/>
  <c r="X859" i="31"/>
  <c r="X858" i="31" a="1"/>
  <c r="X858" i="31"/>
  <c r="X857" i="31" a="1"/>
  <c r="X857" i="31"/>
  <c r="X856" i="31" a="1"/>
  <c r="X856" i="31"/>
  <c r="X855" i="31" a="1"/>
  <c r="X855" i="31"/>
  <c r="X854" i="31" a="1"/>
  <c r="X854" i="31"/>
  <c r="X853" i="31" a="1"/>
  <c r="X853" i="31"/>
  <c r="X852" i="31" a="1"/>
  <c r="X852" i="31"/>
  <c r="X851" i="31" a="1"/>
  <c r="X851" i="31"/>
  <c r="X850" i="31" a="1"/>
  <c r="X850" i="31"/>
  <c r="X849" i="31" a="1"/>
  <c r="X849" i="31"/>
  <c r="X848" i="31" a="1"/>
  <c r="X848" i="31"/>
  <c r="X847" i="31" a="1"/>
  <c r="X847" i="31"/>
  <c r="X846" i="31" a="1"/>
  <c r="X846" i="31"/>
  <c r="X845" i="31" a="1"/>
  <c r="X845" i="31"/>
  <c r="X844" i="31" a="1"/>
  <c r="X844" i="31"/>
  <c r="X843" i="31" a="1"/>
  <c r="X843" i="31"/>
  <c r="X842" i="31" a="1"/>
  <c r="X842" i="31"/>
  <c r="X841" i="31" a="1"/>
  <c r="X841" i="31"/>
  <c r="X840" i="31" a="1"/>
  <c r="X840" i="31"/>
  <c r="X839" i="31" a="1"/>
  <c r="X839" i="31"/>
  <c r="X838" i="31" a="1"/>
  <c r="X838" i="31"/>
  <c r="X837" i="31" a="1"/>
  <c r="X837" i="31"/>
  <c r="X836" i="31" a="1"/>
  <c r="X836" i="31"/>
  <c r="X835" i="31" a="1"/>
  <c r="X835" i="31"/>
  <c r="X834" i="31" a="1"/>
  <c r="X834" i="31"/>
  <c r="X833" i="31" a="1"/>
  <c r="X833" i="31"/>
  <c r="X832" i="31" a="1"/>
  <c r="X832" i="31"/>
  <c r="X831" i="31" a="1"/>
  <c r="X831" i="31"/>
  <c r="X830" i="31" a="1"/>
  <c r="X830" i="31"/>
  <c r="X829" i="31" a="1"/>
  <c r="X829" i="31"/>
  <c r="X828" i="31" a="1"/>
  <c r="X828" i="31"/>
  <c r="X827" i="31" a="1"/>
  <c r="X827" i="31"/>
  <c r="X826" i="31" a="1"/>
  <c r="X826" i="31"/>
  <c r="X825" i="31" a="1"/>
  <c r="X825" i="31"/>
  <c r="X824" i="31" a="1"/>
  <c r="X824" i="31"/>
  <c r="X823" i="31" a="1"/>
  <c r="X823" i="31"/>
  <c r="X822" i="31" a="1"/>
  <c r="X822" i="31"/>
  <c r="X821" i="31" a="1"/>
  <c r="X821" i="31"/>
  <c r="X820" i="31" a="1"/>
  <c r="X820" i="31"/>
  <c r="X819" i="31" a="1"/>
  <c r="X819" i="31"/>
  <c r="X818" i="31" a="1"/>
  <c r="X818" i="31"/>
  <c r="X817" i="31" a="1"/>
  <c r="X817" i="31"/>
  <c r="X816" i="31" a="1"/>
  <c r="X816" i="31"/>
  <c r="X815" i="31" a="1"/>
  <c r="X815" i="31"/>
  <c r="X814" i="31" a="1"/>
  <c r="X814" i="31"/>
  <c r="X813" i="31" a="1"/>
  <c r="X813" i="31"/>
  <c r="X812" i="31" a="1"/>
  <c r="X812" i="31"/>
  <c r="X811" i="31" a="1"/>
  <c r="X811" i="31"/>
  <c r="X810" i="31" a="1"/>
  <c r="X810" i="31"/>
  <c r="X809" i="31" a="1"/>
  <c r="X809" i="31"/>
  <c r="X808" i="31" a="1"/>
  <c r="X808" i="31"/>
  <c r="X807" i="31" a="1"/>
  <c r="X807" i="31"/>
  <c r="X806" i="31" a="1"/>
  <c r="X806" i="31"/>
  <c r="X805" i="31" a="1"/>
  <c r="X805" i="31"/>
  <c r="X804" i="31" a="1"/>
  <c r="X804" i="31"/>
  <c r="X803" i="31" a="1"/>
  <c r="X803" i="31"/>
  <c r="X802" i="31" a="1"/>
  <c r="X802" i="31"/>
  <c r="X801" i="31" a="1"/>
  <c r="X801" i="31"/>
  <c r="X800" i="31" a="1"/>
  <c r="X800" i="31"/>
  <c r="X799" i="31" a="1"/>
  <c r="X799" i="31"/>
  <c r="X798" i="31" a="1"/>
  <c r="X798" i="31"/>
  <c r="X797" i="31" a="1"/>
  <c r="X797" i="31"/>
  <c r="X796" i="31" a="1"/>
  <c r="X796" i="31"/>
  <c r="X795" i="31" a="1"/>
  <c r="X795" i="31"/>
  <c r="X794" i="31" a="1"/>
  <c r="X794" i="31"/>
  <c r="X793" i="31" a="1"/>
  <c r="X793" i="31"/>
  <c r="X792" i="31" a="1"/>
  <c r="X792" i="31"/>
  <c r="X791" i="31" a="1"/>
  <c r="X791" i="31"/>
  <c r="X790" i="31" a="1"/>
  <c r="X790" i="31"/>
  <c r="X789" i="31" a="1"/>
  <c r="X789" i="31"/>
  <c r="X788" i="31" a="1"/>
  <c r="X788" i="31"/>
  <c r="X787" i="31" a="1"/>
  <c r="X787" i="31"/>
  <c r="X786" i="31" a="1"/>
  <c r="X786" i="31"/>
  <c r="X785" i="31" a="1"/>
  <c r="X785" i="31"/>
  <c r="X784" i="31" a="1"/>
  <c r="X784" i="31"/>
  <c r="X783" i="31" a="1"/>
  <c r="X783" i="31"/>
  <c r="X782" i="31" a="1"/>
  <c r="X782" i="31"/>
  <c r="X781" i="31" a="1"/>
  <c r="X781" i="31"/>
  <c r="X780" i="31" a="1"/>
  <c r="X780" i="31"/>
  <c r="X779" i="31" a="1"/>
  <c r="X779" i="31"/>
  <c r="X778" i="31" a="1"/>
  <c r="X778" i="31"/>
  <c r="X777" i="31" a="1"/>
  <c r="X777" i="31"/>
  <c r="X776" i="31" a="1"/>
  <c r="X776" i="31"/>
  <c r="X775" i="31" a="1"/>
  <c r="X775" i="31"/>
  <c r="X774" i="31" a="1"/>
  <c r="X774" i="31"/>
  <c r="X773" i="31" a="1"/>
  <c r="X773" i="31"/>
  <c r="X772" i="31" a="1"/>
  <c r="X772" i="31"/>
  <c r="X771" i="31" a="1"/>
  <c r="X771" i="31"/>
  <c r="X770" i="31" a="1"/>
  <c r="X770" i="31"/>
  <c r="X769" i="31" a="1"/>
  <c r="X769" i="31"/>
  <c r="X768" i="31" a="1"/>
  <c r="X768" i="31"/>
  <c r="X767" i="31" a="1"/>
  <c r="X767" i="31"/>
  <c r="X766" i="31" a="1"/>
  <c r="X766" i="31"/>
  <c r="X765" i="31" a="1"/>
  <c r="X765" i="31"/>
  <c r="X764" i="31" a="1"/>
  <c r="X764" i="31"/>
  <c r="X763" i="31" a="1"/>
  <c r="X763" i="31"/>
  <c r="X762" i="31" a="1"/>
  <c r="X762" i="31"/>
  <c r="X761" i="31" a="1"/>
  <c r="X761" i="31"/>
  <c r="X760" i="31" a="1"/>
  <c r="X760" i="31"/>
  <c r="X759" i="31" a="1"/>
  <c r="X759" i="31"/>
  <c r="X758" i="31" a="1"/>
  <c r="X758" i="31"/>
  <c r="X757" i="31" a="1"/>
  <c r="X757" i="31"/>
  <c r="X756" i="31" a="1"/>
  <c r="X756" i="31"/>
  <c r="X755" i="31" a="1"/>
  <c r="X755" i="31"/>
  <c r="X754" i="31" a="1"/>
  <c r="X754" i="31"/>
  <c r="X753" i="31" a="1"/>
  <c r="X753" i="31"/>
  <c r="X752" i="31" a="1"/>
  <c r="X752" i="31"/>
  <c r="X751" i="31" a="1"/>
  <c r="X751" i="31"/>
  <c r="X750" i="31" a="1"/>
  <c r="X750" i="31"/>
  <c r="X749" i="31" a="1"/>
  <c r="X749" i="31"/>
  <c r="X748" i="31" a="1"/>
  <c r="X748" i="31"/>
  <c r="X747" i="31" a="1"/>
  <c r="X747" i="31"/>
  <c r="X746" i="31" a="1"/>
  <c r="X746" i="31"/>
  <c r="X745" i="31" a="1"/>
  <c r="X745" i="31"/>
  <c r="X744" i="31" a="1"/>
  <c r="X744" i="31"/>
  <c r="X743" i="31" a="1"/>
  <c r="X743" i="31"/>
  <c r="X742" i="31" a="1"/>
  <c r="X742" i="31"/>
  <c r="X741" i="31" a="1"/>
  <c r="X741" i="31"/>
  <c r="X740" i="31" a="1"/>
  <c r="X740" i="31"/>
  <c r="X739" i="31" a="1"/>
  <c r="X739" i="31"/>
  <c r="X738" i="31" a="1"/>
  <c r="X738" i="31"/>
  <c r="X737" i="31" a="1"/>
  <c r="X737" i="31"/>
  <c r="X736" i="31" a="1"/>
  <c r="X736" i="31"/>
  <c r="X735" i="31" a="1"/>
  <c r="X735" i="31"/>
  <c r="X734" i="31" a="1"/>
  <c r="X734" i="31"/>
  <c r="X733" i="31" a="1"/>
  <c r="X733" i="31"/>
  <c r="X732" i="31" a="1"/>
  <c r="X732" i="31"/>
  <c r="X731" i="31" a="1"/>
  <c r="X731" i="31"/>
  <c r="X730" i="31" a="1"/>
  <c r="X730" i="31"/>
  <c r="X729" i="31" a="1"/>
  <c r="X729" i="31"/>
  <c r="X728" i="31" a="1"/>
  <c r="X728" i="31"/>
  <c r="X727" i="31" a="1"/>
  <c r="X727" i="31"/>
  <c r="X726" i="31" a="1"/>
  <c r="X726" i="31"/>
  <c r="X725" i="31" a="1"/>
  <c r="X725" i="31"/>
  <c r="X724" i="31" a="1"/>
  <c r="X724" i="31"/>
  <c r="X723" i="31" a="1"/>
  <c r="X723" i="31"/>
  <c r="X722" i="31" a="1"/>
  <c r="X722" i="31"/>
  <c r="X721" i="31" a="1"/>
  <c r="X721" i="31"/>
  <c r="X720" i="31" a="1"/>
  <c r="X720" i="31"/>
  <c r="X719" i="31" a="1"/>
  <c r="X719" i="31"/>
  <c r="X718" i="31" a="1"/>
  <c r="X718" i="31"/>
  <c r="X717" i="31" a="1"/>
  <c r="X717" i="31"/>
  <c r="X716" i="31" a="1"/>
  <c r="X716" i="31"/>
  <c r="X715" i="31" a="1"/>
  <c r="X715" i="31"/>
  <c r="X714" i="31" a="1"/>
  <c r="X714" i="31"/>
  <c r="X713" i="31" a="1"/>
  <c r="X713" i="31"/>
  <c r="X712" i="31" a="1"/>
  <c r="X712" i="31"/>
  <c r="X711" i="31" a="1"/>
  <c r="X711" i="31"/>
  <c r="X710" i="31" a="1"/>
  <c r="X710" i="31"/>
  <c r="X709" i="31" a="1"/>
  <c r="X709" i="31"/>
  <c r="X708" i="31" a="1"/>
  <c r="X708" i="31"/>
  <c r="X707" i="31" a="1"/>
  <c r="X707" i="31"/>
  <c r="X706" i="31" a="1"/>
  <c r="X706" i="31"/>
  <c r="X705" i="31" a="1"/>
  <c r="X705" i="31"/>
  <c r="X704" i="31" a="1"/>
  <c r="X704" i="31"/>
  <c r="X703" i="31" a="1"/>
  <c r="X703" i="31"/>
  <c r="X702" i="31" a="1"/>
  <c r="X702" i="31"/>
  <c r="X701" i="31" a="1"/>
  <c r="X701" i="31"/>
  <c r="X700" i="31" a="1"/>
  <c r="X700" i="31"/>
  <c r="X699" i="31" a="1"/>
  <c r="X699" i="31"/>
  <c r="X698" i="31" a="1"/>
  <c r="X698" i="31"/>
  <c r="X697" i="31" a="1"/>
  <c r="X697" i="31"/>
  <c r="X696" i="31" a="1"/>
  <c r="X696" i="31"/>
  <c r="X695" i="31" a="1"/>
  <c r="X695" i="31"/>
  <c r="X694" i="31" a="1"/>
  <c r="X694" i="31"/>
  <c r="X693" i="31" a="1"/>
  <c r="X693" i="31"/>
  <c r="X692" i="31" a="1"/>
  <c r="X692" i="31"/>
  <c r="X691" i="31" a="1"/>
  <c r="X691" i="31"/>
  <c r="X690" i="31" a="1"/>
  <c r="X690" i="31"/>
  <c r="X689" i="31" a="1"/>
  <c r="X689" i="31"/>
  <c r="X688" i="31" a="1"/>
  <c r="X688" i="31"/>
  <c r="X687" i="31" a="1"/>
  <c r="X687" i="31"/>
  <c r="X686" i="31" a="1"/>
  <c r="X686" i="31"/>
  <c r="X685" i="31" a="1"/>
  <c r="X685" i="31"/>
  <c r="X684" i="31" a="1"/>
  <c r="X684" i="31"/>
  <c r="X683" i="31" a="1"/>
  <c r="X683" i="31"/>
  <c r="X682" i="31" a="1"/>
  <c r="X682" i="31"/>
  <c r="X681" i="31" a="1"/>
  <c r="X681" i="31"/>
  <c r="X680" i="31" a="1"/>
  <c r="X680" i="31"/>
  <c r="X679" i="31" a="1"/>
  <c r="X679" i="31"/>
  <c r="X678" i="31" a="1"/>
  <c r="X678" i="31"/>
  <c r="X677" i="31" a="1"/>
  <c r="X677" i="31"/>
  <c r="X676" i="31" a="1"/>
  <c r="X676" i="31"/>
  <c r="X675" i="31" a="1"/>
  <c r="X675" i="31"/>
  <c r="X674" i="31" a="1"/>
  <c r="X674" i="31"/>
  <c r="X673" i="31" a="1"/>
  <c r="X673" i="31"/>
  <c r="X672" i="31" a="1"/>
  <c r="X672" i="31"/>
  <c r="X671" i="31" a="1"/>
  <c r="X671" i="31"/>
  <c r="X670" i="31" a="1"/>
  <c r="X670" i="31"/>
  <c r="X669" i="31" a="1"/>
  <c r="X669" i="31"/>
  <c r="X668" i="31" a="1"/>
  <c r="X668" i="31"/>
  <c r="X667" i="31" a="1"/>
  <c r="X667" i="31"/>
  <c r="X666" i="31" a="1"/>
  <c r="X666" i="31"/>
  <c r="X665" i="31" a="1"/>
  <c r="X665" i="31"/>
  <c r="X664" i="31" a="1"/>
  <c r="X664" i="31"/>
  <c r="X663" i="31" a="1"/>
  <c r="X663" i="31"/>
  <c r="X662" i="31" a="1"/>
  <c r="X662" i="31"/>
  <c r="X661" i="31" a="1"/>
  <c r="X661" i="31"/>
  <c r="X660" i="31" a="1"/>
  <c r="X660" i="31"/>
  <c r="X659" i="31" a="1"/>
  <c r="X659" i="31"/>
  <c r="X658" i="31" a="1"/>
  <c r="X658" i="31"/>
  <c r="X657" i="31" a="1"/>
  <c r="X657" i="31"/>
  <c r="X656" i="31" a="1"/>
  <c r="X656" i="31"/>
  <c r="X655" i="31" a="1"/>
  <c r="X655" i="31"/>
  <c r="X654" i="31" a="1"/>
  <c r="X654" i="31"/>
  <c r="X653" i="31" a="1"/>
  <c r="X653" i="31"/>
  <c r="X652" i="31" a="1"/>
  <c r="X652" i="31"/>
  <c r="X651" i="31" a="1"/>
  <c r="X651" i="31"/>
  <c r="X650" i="31" a="1"/>
  <c r="X650" i="31"/>
  <c r="X649" i="31" a="1"/>
  <c r="X649" i="31"/>
  <c r="X648" i="31" a="1"/>
  <c r="X648" i="31"/>
  <c r="X647" i="31" a="1"/>
  <c r="X647" i="31"/>
  <c r="X646" i="31" a="1"/>
  <c r="X646" i="31"/>
  <c r="X645" i="31" a="1"/>
  <c r="X645" i="31"/>
  <c r="X644" i="31" a="1"/>
  <c r="X644" i="31"/>
  <c r="X643" i="31" a="1"/>
  <c r="X643" i="31"/>
  <c r="X642" i="31" a="1"/>
  <c r="X642" i="31"/>
  <c r="X641" i="31" a="1"/>
  <c r="X641" i="31"/>
  <c r="X640" i="31" a="1"/>
  <c r="X640" i="31"/>
  <c r="X639" i="31" a="1"/>
  <c r="X639" i="31"/>
  <c r="X638" i="31" a="1"/>
  <c r="X638" i="31"/>
  <c r="X637" i="31" a="1"/>
  <c r="X637" i="31"/>
  <c r="X636" i="31" a="1"/>
  <c r="X636" i="31"/>
  <c r="X635" i="31" a="1"/>
  <c r="X635" i="31"/>
  <c r="X634" i="31" a="1"/>
  <c r="X634" i="31"/>
  <c r="X633" i="31" a="1"/>
  <c r="X633" i="31"/>
  <c r="X632" i="31" a="1"/>
  <c r="X632" i="31"/>
  <c r="X631" i="31" a="1"/>
  <c r="X631" i="31"/>
  <c r="X630" i="31" a="1"/>
  <c r="X630" i="31"/>
  <c r="X629" i="31" a="1"/>
  <c r="X629" i="31"/>
  <c r="X628" i="31" a="1"/>
  <c r="X628" i="31"/>
  <c r="X627" i="31" a="1"/>
  <c r="X627" i="31"/>
  <c r="X626" i="31" a="1"/>
  <c r="X626" i="31"/>
  <c r="X625" i="31" a="1"/>
  <c r="X625" i="31"/>
  <c r="X624" i="31" a="1"/>
  <c r="X624" i="31"/>
  <c r="X623" i="31" a="1"/>
  <c r="X623" i="31"/>
  <c r="X622" i="31" a="1"/>
  <c r="X622" i="31"/>
  <c r="X621" i="31" a="1"/>
  <c r="X621" i="31"/>
  <c r="X620" i="31" a="1"/>
  <c r="X620" i="31"/>
  <c r="X619" i="31" a="1"/>
  <c r="X619" i="31"/>
  <c r="X618" i="31" a="1"/>
  <c r="X618" i="31"/>
  <c r="X617" i="31" a="1"/>
  <c r="X617" i="31"/>
  <c r="X616" i="31" a="1"/>
  <c r="X616" i="31"/>
  <c r="X615" i="31" a="1"/>
  <c r="X615" i="31"/>
  <c r="X614" i="31" a="1"/>
  <c r="X614" i="31"/>
  <c r="X613" i="31" a="1"/>
  <c r="X613" i="31"/>
  <c r="X612" i="31" a="1"/>
  <c r="X612" i="31"/>
  <c r="X611" i="31" a="1"/>
  <c r="X611" i="31"/>
  <c r="X610" i="31" a="1"/>
  <c r="X610" i="31"/>
  <c r="X609" i="31" a="1"/>
  <c r="X609" i="31"/>
  <c r="X608" i="31" a="1"/>
  <c r="X608" i="31"/>
  <c r="X607" i="31" a="1"/>
  <c r="X607" i="31"/>
  <c r="X606" i="31" a="1"/>
  <c r="X606" i="31"/>
  <c r="X605" i="31" a="1"/>
  <c r="X605" i="31"/>
  <c r="X604" i="31" a="1"/>
  <c r="X604" i="31"/>
  <c r="X603" i="31" a="1"/>
  <c r="X603" i="31"/>
  <c r="X602" i="31" a="1"/>
  <c r="X602" i="31"/>
  <c r="X601" i="31" a="1"/>
  <c r="X601" i="31"/>
  <c r="X600" i="31" a="1"/>
  <c r="X600" i="31"/>
  <c r="X599" i="31" a="1"/>
  <c r="X599" i="31"/>
  <c r="X598" i="31" a="1"/>
  <c r="X598" i="31"/>
  <c r="X597" i="31" a="1"/>
  <c r="X597" i="31"/>
  <c r="X596" i="31" a="1"/>
  <c r="X596" i="31"/>
  <c r="X595" i="31" a="1"/>
  <c r="X595" i="31"/>
  <c r="X594" i="31" a="1"/>
  <c r="X594" i="31"/>
  <c r="X593" i="31" a="1"/>
  <c r="X593" i="31"/>
  <c r="X592" i="31" a="1"/>
  <c r="X592" i="31"/>
  <c r="X591" i="31" a="1"/>
  <c r="X591" i="31"/>
  <c r="X590" i="31" a="1"/>
  <c r="X590" i="31"/>
  <c r="X589" i="31" a="1"/>
  <c r="X589" i="31"/>
  <c r="X588" i="31" a="1"/>
  <c r="X588" i="31"/>
  <c r="X587" i="31" a="1"/>
  <c r="X587" i="31"/>
  <c r="X586" i="31" a="1"/>
  <c r="X586" i="31"/>
  <c r="X585" i="31" a="1"/>
  <c r="X585" i="31"/>
  <c r="X584" i="31" a="1"/>
  <c r="X584" i="31"/>
  <c r="X583" i="31" a="1"/>
  <c r="X583" i="31"/>
  <c r="X582" i="31" a="1"/>
  <c r="X582" i="31"/>
  <c r="X581" i="31" a="1"/>
  <c r="X581" i="31"/>
  <c r="X580" i="31" a="1"/>
  <c r="X580" i="31"/>
  <c r="X579" i="31" a="1"/>
  <c r="X579" i="31"/>
  <c r="X578" i="31" a="1"/>
  <c r="X578" i="31"/>
  <c r="X577" i="31" a="1"/>
  <c r="X577" i="31"/>
  <c r="X576" i="31" a="1"/>
  <c r="X576" i="31"/>
  <c r="X575" i="31" a="1"/>
  <c r="X575" i="31"/>
  <c r="X574" i="31" a="1"/>
  <c r="X574" i="31"/>
  <c r="X573" i="31" a="1"/>
  <c r="X573" i="31"/>
  <c r="X572" i="31" a="1"/>
  <c r="X572" i="31"/>
  <c r="X571" i="31" a="1"/>
  <c r="X571" i="31"/>
  <c r="X570" i="31" a="1"/>
  <c r="X570" i="31"/>
  <c r="X569" i="31" a="1"/>
  <c r="X569" i="31"/>
  <c r="X568" i="31" a="1"/>
  <c r="X568" i="31"/>
  <c r="X567" i="31" a="1"/>
  <c r="X567" i="31"/>
  <c r="X566" i="31" a="1"/>
  <c r="X566" i="31"/>
  <c r="X565" i="31" a="1"/>
  <c r="X565" i="31"/>
  <c r="X564" i="31" a="1"/>
  <c r="X564" i="31"/>
  <c r="X563" i="31" a="1"/>
  <c r="X563" i="31"/>
  <c r="X562" i="31" a="1"/>
  <c r="X562" i="31"/>
  <c r="X561" i="31" a="1"/>
  <c r="X561" i="31"/>
  <c r="X560" i="31" a="1"/>
  <c r="X560" i="31"/>
  <c r="X559" i="31" a="1"/>
  <c r="X559" i="31"/>
  <c r="X558" i="31" a="1"/>
  <c r="X558" i="31"/>
  <c r="X557" i="31" a="1"/>
  <c r="X557" i="31"/>
  <c r="X556" i="31" a="1"/>
  <c r="X556" i="31"/>
  <c r="X555" i="31" a="1"/>
  <c r="X555" i="31"/>
  <c r="X554" i="31" a="1"/>
  <c r="X554" i="31"/>
  <c r="X553" i="31" a="1"/>
  <c r="X553" i="31"/>
  <c r="X552" i="31" a="1"/>
  <c r="X552" i="31"/>
  <c r="X551" i="31" a="1"/>
  <c r="X551" i="31"/>
  <c r="X550" i="31" a="1"/>
  <c r="X550" i="31"/>
  <c r="X549" i="31" a="1"/>
  <c r="X549" i="31"/>
  <c r="X548" i="31" a="1"/>
  <c r="X548" i="31"/>
  <c r="X547" i="31" a="1"/>
  <c r="X547" i="31"/>
  <c r="X546" i="31" a="1"/>
  <c r="X546" i="31"/>
  <c r="X545" i="31" a="1"/>
  <c r="X545" i="31"/>
  <c r="X544" i="31" a="1"/>
  <c r="X544" i="31"/>
  <c r="X543" i="31" a="1"/>
  <c r="X543" i="31"/>
  <c r="X542" i="31" a="1"/>
  <c r="X542" i="31"/>
  <c r="X541" i="31" a="1"/>
  <c r="X541" i="31"/>
  <c r="X540" i="31" a="1"/>
  <c r="X540" i="31"/>
  <c r="X539" i="31" a="1"/>
  <c r="X539" i="31"/>
  <c r="X538" i="31" a="1"/>
  <c r="X538" i="31"/>
  <c r="X537" i="31" a="1"/>
  <c r="X537" i="31"/>
  <c r="X536" i="31" a="1"/>
  <c r="X536" i="31"/>
  <c r="X535" i="31" a="1"/>
  <c r="X535" i="31"/>
  <c r="X534" i="31" a="1"/>
  <c r="X534" i="31"/>
  <c r="X533" i="31" a="1"/>
  <c r="X533" i="31"/>
  <c r="X532" i="31" a="1"/>
  <c r="X532" i="31"/>
  <c r="X531" i="31" a="1"/>
  <c r="X531" i="31"/>
  <c r="X530" i="31" a="1"/>
  <c r="X530" i="31"/>
  <c r="X529" i="31" a="1"/>
  <c r="X529" i="31"/>
  <c r="X528" i="31" a="1"/>
  <c r="X528" i="31"/>
  <c r="X527" i="31" a="1"/>
  <c r="X527" i="31"/>
  <c r="X526" i="31" a="1"/>
  <c r="X526" i="31"/>
  <c r="X525" i="31" a="1"/>
  <c r="X525" i="31"/>
  <c r="X524" i="31" a="1"/>
  <c r="X524" i="31"/>
  <c r="X523" i="31" a="1"/>
  <c r="X523" i="31"/>
  <c r="X522" i="31" a="1"/>
  <c r="X522" i="31"/>
  <c r="X521" i="31" a="1"/>
  <c r="X521" i="31"/>
  <c r="X520" i="31" a="1"/>
  <c r="X520" i="31"/>
  <c r="X519" i="31" a="1"/>
  <c r="X519" i="31"/>
  <c r="X518" i="31" a="1"/>
  <c r="X518" i="31"/>
  <c r="X517" i="31" a="1"/>
  <c r="X517" i="31"/>
  <c r="X516" i="31" a="1"/>
  <c r="X516" i="31"/>
  <c r="X515" i="31" a="1"/>
  <c r="X515" i="31"/>
  <c r="X514" i="31" a="1"/>
  <c r="X514" i="31"/>
  <c r="X513" i="31" a="1"/>
  <c r="X513" i="31"/>
  <c r="X512" i="31" a="1"/>
  <c r="X512" i="31"/>
  <c r="X511" i="31" a="1"/>
  <c r="X511" i="31"/>
  <c r="X510" i="31" a="1"/>
  <c r="X510" i="31"/>
  <c r="X509" i="31" a="1"/>
  <c r="X509" i="31"/>
  <c r="X508" i="31" a="1"/>
  <c r="X508" i="31"/>
  <c r="X507" i="31" a="1"/>
  <c r="X507" i="31"/>
  <c r="X506" i="31" a="1"/>
  <c r="X506" i="31"/>
  <c r="X505" i="31" a="1"/>
  <c r="X505" i="31"/>
  <c r="X504" i="31" a="1"/>
  <c r="X504" i="31"/>
  <c r="X503" i="31" a="1"/>
  <c r="X503" i="31"/>
  <c r="X502" i="31" a="1"/>
  <c r="X502" i="31"/>
  <c r="X501" i="31" a="1"/>
  <c r="X501" i="31"/>
  <c r="X500" i="31" a="1"/>
  <c r="X500" i="31"/>
  <c r="X499" i="31" a="1"/>
  <c r="X499" i="31"/>
  <c r="X498" i="31" a="1"/>
  <c r="X498" i="31"/>
  <c r="X497" i="31" a="1"/>
  <c r="X497" i="31"/>
  <c r="X496" i="31" a="1"/>
  <c r="X496" i="31"/>
  <c r="X495" i="31" a="1"/>
  <c r="X495" i="31"/>
  <c r="X494" i="31" a="1"/>
  <c r="X494" i="31"/>
  <c r="X493" i="31" a="1"/>
  <c r="X493" i="31"/>
  <c r="X492" i="31" a="1"/>
  <c r="X492" i="31"/>
  <c r="X491" i="31" a="1"/>
  <c r="X491" i="31"/>
  <c r="X490" i="31" a="1"/>
  <c r="X490" i="31"/>
  <c r="X489" i="31" a="1"/>
  <c r="X489" i="31"/>
  <c r="X488" i="31" a="1"/>
  <c r="X488" i="31"/>
  <c r="X487" i="31" a="1"/>
  <c r="X487" i="31"/>
  <c r="X486" i="31" a="1"/>
  <c r="X486" i="31"/>
  <c r="X485" i="31" a="1"/>
  <c r="X485" i="31"/>
  <c r="X484" i="31" a="1"/>
  <c r="X484" i="31"/>
  <c r="X483" i="31" a="1"/>
  <c r="X483" i="31"/>
  <c r="X482" i="31" a="1"/>
  <c r="X482" i="31"/>
  <c r="X481" i="31" a="1"/>
  <c r="X481" i="31"/>
  <c r="X480" i="31" a="1"/>
  <c r="X480" i="31"/>
  <c r="X479" i="31" a="1"/>
  <c r="X479" i="31"/>
  <c r="X478" i="31" a="1"/>
  <c r="X478" i="31"/>
  <c r="X477" i="31" a="1"/>
  <c r="X477" i="31"/>
  <c r="X476" i="31" a="1"/>
  <c r="X476" i="31"/>
  <c r="X475" i="31" a="1"/>
  <c r="X475" i="31"/>
  <c r="X474" i="31" a="1"/>
  <c r="X474" i="31"/>
  <c r="X473" i="31" a="1"/>
  <c r="X473" i="31"/>
  <c r="X472" i="31" a="1"/>
  <c r="X472" i="31"/>
  <c r="X471" i="31" a="1"/>
  <c r="X471" i="31"/>
  <c r="X470" i="31" a="1"/>
  <c r="X470" i="31"/>
  <c r="X469" i="31" a="1"/>
  <c r="X469" i="31"/>
  <c r="X468" i="31" a="1"/>
  <c r="X468" i="31"/>
  <c r="X467" i="31" a="1"/>
  <c r="X467" i="31"/>
  <c r="X466" i="31" a="1"/>
  <c r="X466" i="31"/>
  <c r="X465" i="31" a="1"/>
  <c r="X465" i="31"/>
  <c r="X464" i="31" a="1"/>
  <c r="X464" i="31"/>
  <c r="X463" i="31" a="1"/>
  <c r="X463" i="31"/>
  <c r="X462" i="31" a="1"/>
  <c r="X462" i="31"/>
  <c r="X461" i="31" a="1"/>
  <c r="X461" i="31"/>
  <c r="X460" i="31" a="1"/>
  <c r="X460" i="31"/>
  <c r="X459" i="31" a="1"/>
  <c r="X459" i="31"/>
  <c r="X458" i="31" a="1"/>
  <c r="X458" i="31"/>
  <c r="X457" i="31" a="1"/>
  <c r="X457" i="31"/>
  <c r="X456" i="31" a="1"/>
  <c r="X456" i="31"/>
  <c r="X455" i="31" a="1"/>
  <c r="X455" i="31"/>
  <c r="X454" i="31" a="1"/>
  <c r="X454" i="31"/>
  <c r="X453" i="31" a="1"/>
  <c r="X453" i="31"/>
  <c r="X452" i="31" a="1"/>
  <c r="X452" i="31"/>
  <c r="X451" i="31" a="1"/>
  <c r="X451" i="31"/>
  <c r="X450" i="31" a="1"/>
  <c r="X450" i="31"/>
  <c r="X449" i="31" a="1"/>
  <c r="X449" i="31"/>
  <c r="X448" i="31" a="1"/>
  <c r="X448" i="31"/>
  <c r="X447" i="31" a="1"/>
  <c r="X447" i="31"/>
  <c r="X446" i="31" a="1"/>
  <c r="X446" i="31"/>
  <c r="X445" i="31" a="1"/>
  <c r="X445" i="31"/>
  <c r="X444" i="31" a="1"/>
  <c r="X444" i="31"/>
  <c r="X443" i="31" a="1"/>
  <c r="X443" i="31"/>
  <c r="X442" i="31" a="1"/>
  <c r="X442" i="31"/>
  <c r="X441" i="31" a="1"/>
  <c r="X441" i="31"/>
  <c r="X440" i="31" a="1"/>
  <c r="X440" i="31"/>
  <c r="X439" i="31" a="1"/>
  <c r="X439" i="31"/>
  <c r="X438" i="31" a="1"/>
  <c r="X438" i="31"/>
  <c r="X437" i="31" a="1"/>
  <c r="X437" i="31"/>
  <c r="X436" i="31" a="1"/>
  <c r="X436" i="31"/>
  <c r="X435" i="31" a="1"/>
  <c r="X435" i="31"/>
  <c r="X434" i="31" a="1"/>
  <c r="X434" i="31"/>
  <c r="X433" i="31" a="1"/>
  <c r="X433" i="31"/>
  <c r="X432" i="31" a="1"/>
  <c r="X432" i="31"/>
  <c r="X431" i="31" a="1"/>
  <c r="X431" i="31"/>
  <c r="X430" i="31" a="1"/>
  <c r="X430" i="31"/>
  <c r="X429" i="31" a="1"/>
  <c r="X429" i="31"/>
  <c r="X428" i="31" a="1"/>
  <c r="X428" i="31"/>
  <c r="X427" i="31" a="1"/>
  <c r="X427" i="31"/>
  <c r="X426" i="31" a="1"/>
  <c r="X426" i="31"/>
  <c r="X425" i="31" a="1"/>
  <c r="X425" i="31"/>
  <c r="X424" i="31" a="1"/>
  <c r="X424" i="31"/>
  <c r="X423" i="31" a="1"/>
  <c r="X423" i="31"/>
  <c r="X422" i="31" a="1"/>
  <c r="X422" i="31"/>
  <c r="X421" i="31" a="1"/>
  <c r="X421" i="31"/>
  <c r="X420" i="31" a="1"/>
  <c r="X420" i="31"/>
  <c r="X419" i="31" a="1"/>
  <c r="X419" i="31"/>
  <c r="X418" i="31" a="1"/>
  <c r="X418" i="31"/>
  <c r="X417" i="31" a="1"/>
  <c r="X417" i="31"/>
  <c r="X416" i="31" a="1"/>
  <c r="X416" i="31"/>
  <c r="X415" i="31" a="1"/>
  <c r="X415" i="31"/>
  <c r="X414" i="31" a="1"/>
  <c r="X414" i="31"/>
  <c r="X413" i="31" a="1"/>
  <c r="X413" i="31"/>
  <c r="X412" i="31" a="1"/>
  <c r="X412" i="31"/>
  <c r="X411" i="31" a="1"/>
  <c r="X411" i="31"/>
  <c r="X410" i="31" a="1"/>
  <c r="X410" i="31"/>
  <c r="X409" i="31" a="1"/>
  <c r="X409" i="31"/>
  <c r="X408" i="31" a="1"/>
  <c r="X408" i="31"/>
  <c r="X407" i="31" a="1"/>
  <c r="X407" i="31"/>
  <c r="X406" i="31" a="1"/>
  <c r="X406" i="31"/>
  <c r="X405" i="31" a="1"/>
  <c r="X405" i="31"/>
  <c r="X404" i="31" a="1"/>
  <c r="X404" i="31"/>
  <c r="X403" i="31" a="1"/>
  <c r="X403" i="31"/>
  <c r="X402" i="31" a="1"/>
  <c r="X402" i="31"/>
  <c r="X401" i="31" a="1"/>
  <c r="X401" i="31"/>
  <c r="X400" i="31" a="1"/>
  <c r="X400" i="31"/>
  <c r="X399" i="31" a="1"/>
  <c r="X399" i="31"/>
  <c r="X398" i="31" a="1"/>
  <c r="X398" i="31"/>
  <c r="X397" i="31" a="1"/>
  <c r="X397" i="31"/>
  <c r="X396" i="31" a="1"/>
  <c r="X396" i="31"/>
  <c r="X395" i="31" a="1"/>
  <c r="X395" i="31"/>
  <c r="X394" i="31" a="1"/>
  <c r="X394" i="31"/>
  <c r="X393" i="31" a="1"/>
  <c r="X393" i="31"/>
  <c r="X392" i="31" a="1"/>
  <c r="X392" i="31"/>
  <c r="X391" i="31" a="1"/>
  <c r="X391" i="31"/>
  <c r="X390" i="31" a="1"/>
  <c r="X390" i="31"/>
  <c r="X389" i="31" a="1"/>
  <c r="X389" i="31"/>
  <c r="X388" i="31" a="1"/>
  <c r="X388" i="31"/>
  <c r="X387" i="31" a="1"/>
  <c r="X387" i="31"/>
  <c r="X386" i="31" a="1"/>
  <c r="X386" i="31"/>
  <c r="X385" i="31" a="1"/>
  <c r="X385" i="31"/>
  <c r="X384" i="31" a="1"/>
  <c r="X384" i="31"/>
  <c r="X383" i="31" a="1"/>
  <c r="X383" i="31"/>
  <c r="X382" i="31" a="1"/>
  <c r="X382" i="31"/>
  <c r="X381" i="31" a="1"/>
  <c r="X381" i="31"/>
  <c r="X380" i="31" a="1"/>
  <c r="X380" i="31"/>
  <c r="X379" i="31" a="1"/>
  <c r="X379" i="31"/>
  <c r="X378" i="31" a="1"/>
  <c r="X378" i="31"/>
  <c r="X377" i="31" a="1"/>
  <c r="X377" i="31"/>
  <c r="X376" i="31" a="1"/>
  <c r="X376" i="31"/>
  <c r="X375" i="31" a="1"/>
  <c r="X375" i="31"/>
  <c r="X374" i="31" a="1"/>
  <c r="X374" i="31"/>
  <c r="X373" i="31" a="1"/>
  <c r="X373" i="31"/>
  <c r="X372" i="31" a="1"/>
  <c r="X372" i="31"/>
  <c r="X371" i="31" a="1"/>
  <c r="X371" i="31"/>
  <c r="X370" i="31" a="1"/>
  <c r="X370" i="31"/>
  <c r="X369" i="31" a="1"/>
  <c r="X369" i="31"/>
  <c r="X368" i="31" a="1"/>
  <c r="X368" i="31"/>
  <c r="X367" i="31" a="1"/>
  <c r="X367" i="31"/>
  <c r="X366" i="31" a="1"/>
  <c r="X366" i="31"/>
  <c r="X365" i="31" a="1"/>
  <c r="X365" i="31"/>
  <c r="X364" i="31" a="1"/>
  <c r="X364" i="31"/>
  <c r="X363" i="31" a="1"/>
  <c r="X363" i="31"/>
  <c r="X362" i="31" a="1"/>
  <c r="X362" i="31"/>
  <c r="X361" i="31" a="1"/>
  <c r="X361" i="31"/>
  <c r="X360" i="31" a="1"/>
  <c r="X360" i="31"/>
  <c r="X359" i="31" a="1"/>
  <c r="X359" i="31"/>
  <c r="X358" i="31" a="1"/>
  <c r="X358" i="31"/>
  <c r="X357" i="31" a="1"/>
  <c r="X357" i="31"/>
  <c r="X356" i="31" a="1"/>
  <c r="X356" i="31"/>
  <c r="X355" i="31" a="1"/>
  <c r="X355" i="31"/>
  <c r="X354" i="31" a="1"/>
  <c r="X354" i="31"/>
  <c r="X353" i="31" a="1"/>
  <c r="X353" i="31"/>
  <c r="X352" i="31" a="1"/>
  <c r="X352" i="31"/>
  <c r="X351" i="31" a="1"/>
  <c r="X351" i="31"/>
  <c r="X350" i="31" a="1"/>
  <c r="X350" i="31"/>
  <c r="X349" i="31" a="1"/>
  <c r="X349" i="31"/>
  <c r="X348" i="31" a="1"/>
  <c r="X348" i="31"/>
  <c r="X347" i="31" a="1"/>
  <c r="X347" i="31"/>
  <c r="X346" i="31" a="1"/>
  <c r="X346" i="31"/>
  <c r="X345" i="31" a="1"/>
  <c r="X345" i="31"/>
  <c r="X344" i="31" a="1"/>
  <c r="X344" i="31"/>
  <c r="X343" i="31" a="1"/>
  <c r="X343" i="31"/>
  <c r="X342" i="31" a="1"/>
  <c r="X342" i="31"/>
  <c r="X341" i="31" a="1"/>
  <c r="X341" i="31"/>
  <c r="X340" i="31" a="1"/>
  <c r="X340" i="31"/>
  <c r="X339" i="31" a="1"/>
  <c r="X339" i="31"/>
  <c r="X338" i="31" a="1"/>
  <c r="X338" i="31"/>
  <c r="X337" i="31" a="1"/>
  <c r="X337" i="31"/>
  <c r="X336" i="31" a="1"/>
  <c r="X336" i="31"/>
  <c r="X335" i="31" a="1"/>
  <c r="X335" i="31"/>
  <c r="X334" i="31" a="1"/>
  <c r="X334" i="31"/>
  <c r="X333" i="31" a="1"/>
  <c r="X333" i="31"/>
  <c r="X332" i="31" a="1"/>
  <c r="X332" i="31"/>
  <c r="X331" i="31" a="1"/>
  <c r="X331" i="31"/>
  <c r="X330" i="31" a="1"/>
  <c r="X330" i="31"/>
  <c r="X329" i="31" a="1"/>
  <c r="X329" i="31"/>
  <c r="X328" i="31" a="1"/>
  <c r="X328" i="31"/>
  <c r="X327" i="31" a="1"/>
  <c r="X327" i="31"/>
  <c r="X326" i="31" a="1"/>
  <c r="X326" i="31"/>
  <c r="X325" i="31" a="1"/>
  <c r="X325" i="31"/>
  <c r="X324" i="31" a="1"/>
  <c r="X324" i="31"/>
  <c r="X323" i="31" a="1"/>
  <c r="X323" i="31"/>
  <c r="X322" i="31" a="1"/>
  <c r="X322" i="31"/>
  <c r="X321" i="31" a="1"/>
  <c r="X321" i="31"/>
  <c r="X320" i="31" a="1"/>
  <c r="X320" i="31"/>
  <c r="X319" i="31" a="1"/>
  <c r="X319" i="31"/>
  <c r="X318" i="31" a="1"/>
  <c r="X318" i="31"/>
  <c r="X317" i="31" a="1"/>
  <c r="X317" i="31"/>
  <c r="X316" i="31" a="1"/>
  <c r="X316" i="31"/>
  <c r="X315" i="31" a="1"/>
  <c r="X315" i="31"/>
  <c r="X314" i="31" a="1"/>
  <c r="X314" i="31"/>
  <c r="X313" i="31" a="1"/>
  <c r="X313" i="31"/>
  <c r="X312" i="31" a="1"/>
  <c r="X312" i="31"/>
  <c r="X311" i="31" a="1"/>
  <c r="X311" i="31"/>
  <c r="X310" i="31" a="1"/>
  <c r="X310" i="31"/>
  <c r="X309" i="31" a="1"/>
  <c r="X309" i="31"/>
  <c r="X308" i="31" a="1"/>
  <c r="X308" i="31"/>
  <c r="X307" i="31" a="1"/>
  <c r="X307" i="31"/>
  <c r="X306" i="31" a="1"/>
  <c r="X306" i="31"/>
  <c r="X305" i="31" a="1"/>
  <c r="X305" i="31"/>
  <c r="X304" i="31" a="1"/>
  <c r="X304" i="31"/>
  <c r="X303" i="31" a="1"/>
  <c r="X303" i="31"/>
  <c r="X302" i="31" a="1"/>
  <c r="X302" i="31"/>
  <c r="X301" i="31" a="1"/>
  <c r="X301" i="31"/>
  <c r="X300" i="31" a="1"/>
  <c r="X300" i="31"/>
  <c r="X299" i="31" a="1"/>
  <c r="X299" i="31"/>
  <c r="X298" i="31" a="1"/>
  <c r="X298" i="31"/>
  <c r="X297" i="31" a="1"/>
  <c r="X297" i="31"/>
  <c r="X296" i="31" a="1"/>
  <c r="X296" i="31"/>
  <c r="X295" i="31" a="1"/>
  <c r="X295" i="31"/>
  <c r="X294" i="31" a="1"/>
  <c r="X294" i="31"/>
  <c r="X293" i="31" a="1"/>
  <c r="X293" i="31"/>
  <c r="X292" i="31" a="1"/>
  <c r="X292" i="31"/>
  <c r="X291" i="31" a="1"/>
  <c r="X291" i="31"/>
  <c r="X290" i="31" a="1"/>
  <c r="X290" i="31"/>
  <c r="X289" i="31" a="1"/>
  <c r="X289" i="31"/>
  <c r="X288" i="31" a="1"/>
  <c r="X288" i="31"/>
  <c r="X287" i="31" a="1"/>
  <c r="X287" i="31"/>
  <c r="X286" i="31" a="1"/>
  <c r="X286" i="31"/>
  <c r="X285" i="31" a="1"/>
  <c r="X285" i="31"/>
  <c r="X284" i="31" a="1"/>
  <c r="X284" i="31"/>
  <c r="X283" i="31" a="1"/>
  <c r="X283" i="31"/>
  <c r="X282" i="31" a="1"/>
  <c r="X282" i="31"/>
  <c r="X281" i="31" a="1"/>
  <c r="X281" i="31"/>
  <c r="X280" i="31" a="1"/>
  <c r="X280" i="31"/>
  <c r="X279" i="31" a="1"/>
  <c r="X279" i="31"/>
  <c r="X278" i="31" a="1"/>
  <c r="X278" i="31"/>
  <c r="X277" i="31" a="1"/>
  <c r="X277" i="31"/>
  <c r="X276" i="31" a="1"/>
  <c r="X276" i="31"/>
  <c r="X275" i="31" a="1"/>
  <c r="X275" i="31"/>
  <c r="X274" i="31" a="1"/>
  <c r="X274" i="31"/>
  <c r="X273" i="31" a="1"/>
  <c r="X273" i="31"/>
  <c r="X272" i="31" a="1"/>
  <c r="X272" i="31"/>
  <c r="X271" i="31" a="1"/>
  <c r="X271" i="31"/>
  <c r="X270" i="31" a="1"/>
  <c r="X270" i="31"/>
  <c r="X269" i="31" a="1"/>
  <c r="X269" i="31"/>
  <c r="X268" i="31" a="1"/>
  <c r="X268" i="31"/>
  <c r="X267" i="31" a="1"/>
  <c r="X267" i="31"/>
  <c r="X266" i="31" a="1"/>
  <c r="X266" i="31"/>
  <c r="X265" i="31" a="1"/>
  <c r="X265" i="31"/>
  <c r="X264" i="31" a="1"/>
  <c r="X264" i="31"/>
  <c r="X263" i="31" a="1"/>
  <c r="X263" i="31"/>
  <c r="X262" i="31" a="1"/>
  <c r="X262" i="31"/>
  <c r="X261" i="31" a="1"/>
  <c r="X261" i="31"/>
  <c r="X260" i="31" a="1"/>
  <c r="X260" i="31"/>
  <c r="X259" i="31" a="1"/>
  <c r="X259" i="31"/>
  <c r="X258" i="31" a="1"/>
  <c r="X258" i="31"/>
  <c r="X257" i="31" a="1"/>
  <c r="X257" i="31"/>
  <c r="X256" i="31" a="1"/>
  <c r="X256" i="31"/>
  <c r="X255" i="31" a="1"/>
  <c r="X255" i="31"/>
  <c r="X254" i="31" a="1"/>
  <c r="X254" i="31"/>
  <c r="X253" i="31" a="1"/>
  <c r="X253" i="31"/>
  <c r="X252" i="31" a="1"/>
  <c r="X252" i="31"/>
  <c r="X251" i="31" a="1"/>
  <c r="X251" i="31"/>
  <c r="X250" i="31" a="1"/>
  <c r="X250" i="31"/>
  <c r="X249" i="31" a="1"/>
  <c r="X249" i="31"/>
  <c r="X248" i="31" a="1"/>
  <c r="X248" i="31"/>
  <c r="X247" i="31" a="1"/>
  <c r="X247" i="31"/>
  <c r="X246" i="31" a="1"/>
  <c r="X246" i="31"/>
  <c r="X245" i="31" a="1"/>
  <c r="X245" i="31"/>
  <c r="X244" i="31" a="1"/>
  <c r="X244" i="31"/>
  <c r="X243" i="31" a="1"/>
  <c r="X243" i="31"/>
  <c r="X242" i="31" a="1"/>
  <c r="X242" i="31"/>
  <c r="X241" i="31" a="1"/>
  <c r="X241" i="31"/>
  <c r="X240" i="31" a="1"/>
  <c r="X240" i="31"/>
  <c r="X239" i="31" a="1"/>
  <c r="X239" i="31"/>
  <c r="X238" i="31" a="1"/>
  <c r="X238" i="31"/>
  <c r="X237" i="31" a="1"/>
  <c r="X237" i="31"/>
  <c r="X236" i="31" a="1"/>
  <c r="X236" i="31"/>
  <c r="X235" i="31" a="1"/>
  <c r="X235" i="31"/>
  <c r="X234" i="31" a="1"/>
  <c r="X234" i="31"/>
  <c r="X233" i="31" a="1"/>
  <c r="X233" i="31"/>
  <c r="X232" i="31" a="1"/>
  <c r="X232" i="31"/>
  <c r="X231" i="31" a="1"/>
  <c r="X231" i="31"/>
  <c r="X230" i="31" a="1"/>
  <c r="X230" i="31"/>
  <c r="X229" i="31" a="1"/>
  <c r="X229" i="31"/>
  <c r="X228" i="31" a="1"/>
  <c r="X228" i="31"/>
  <c r="X227" i="31" a="1"/>
  <c r="X227" i="31"/>
  <c r="X226" i="31" a="1"/>
  <c r="X226" i="31"/>
  <c r="X225" i="31" a="1"/>
  <c r="X225" i="31"/>
  <c r="X224" i="31" a="1"/>
  <c r="X224" i="31"/>
  <c r="X223" i="31" a="1"/>
  <c r="X223" i="31"/>
  <c r="X222" i="31" a="1"/>
  <c r="X222" i="31"/>
  <c r="X221" i="31" a="1"/>
  <c r="X221" i="31"/>
  <c r="X220" i="31" a="1"/>
  <c r="X220" i="31"/>
  <c r="X219" i="31" a="1"/>
  <c r="X219" i="31"/>
  <c r="X218" i="31" a="1"/>
  <c r="X218" i="31"/>
  <c r="X217" i="31" a="1"/>
  <c r="X217" i="31"/>
  <c r="X216" i="31" a="1"/>
  <c r="X216" i="31"/>
  <c r="X215" i="31" a="1"/>
  <c r="X215" i="31"/>
  <c r="X214" i="31" a="1"/>
  <c r="X214" i="31"/>
  <c r="X213" i="31" a="1"/>
  <c r="X213" i="31"/>
  <c r="X212" i="31" a="1"/>
  <c r="X212" i="31"/>
  <c r="X211" i="31" a="1"/>
  <c r="X211" i="31"/>
  <c r="X210" i="31" a="1"/>
  <c r="X210" i="31"/>
  <c r="X209" i="31" a="1"/>
  <c r="X209" i="31"/>
  <c r="X208" i="31" a="1"/>
  <c r="X208" i="31"/>
  <c r="X207" i="31" a="1"/>
  <c r="X207" i="31"/>
  <c r="X206" i="31" a="1"/>
  <c r="X206" i="31"/>
  <c r="X205" i="31" a="1"/>
  <c r="X205" i="31"/>
  <c r="X204" i="31" a="1"/>
  <c r="X204" i="31"/>
  <c r="X203" i="31" a="1"/>
  <c r="X203" i="31"/>
  <c r="X202" i="31" a="1"/>
  <c r="X202" i="31"/>
  <c r="X201" i="31" a="1"/>
  <c r="X201" i="31"/>
  <c r="X200" i="31" a="1"/>
  <c r="X200" i="31"/>
  <c r="X199" i="31" a="1"/>
  <c r="X199" i="31"/>
  <c r="X198" i="31" a="1"/>
  <c r="X198" i="31"/>
  <c r="X197" i="31" a="1"/>
  <c r="X197" i="31"/>
  <c r="X196" i="31" a="1"/>
  <c r="X196" i="31"/>
  <c r="X195" i="31" a="1"/>
  <c r="X195" i="31"/>
  <c r="X194" i="31" a="1"/>
  <c r="X194" i="31"/>
  <c r="X193" i="31" a="1"/>
  <c r="X193" i="31"/>
  <c r="X192" i="31" a="1"/>
  <c r="X192" i="31"/>
  <c r="X191" i="31" a="1"/>
  <c r="X191" i="31"/>
  <c r="X190" i="31" a="1"/>
  <c r="X190" i="31"/>
  <c r="X189" i="31" a="1"/>
  <c r="X189" i="31"/>
  <c r="X188" i="31" a="1"/>
  <c r="X188" i="31"/>
  <c r="X187" i="31" a="1"/>
  <c r="X187" i="31"/>
  <c r="X186" i="31" a="1"/>
  <c r="X186" i="31"/>
  <c r="X185" i="31" a="1"/>
  <c r="X185" i="31"/>
  <c r="X184" i="31" a="1"/>
  <c r="X184" i="31"/>
  <c r="X183" i="31" a="1"/>
  <c r="X183" i="31"/>
  <c r="X182" i="31" a="1"/>
  <c r="X182" i="31"/>
  <c r="X181" i="31" a="1"/>
  <c r="X181" i="31"/>
  <c r="X180" i="31" a="1"/>
  <c r="X180" i="31"/>
  <c r="X179" i="31" a="1"/>
  <c r="X179" i="31"/>
  <c r="X178" i="31" a="1"/>
  <c r="X178" i="31"/>
  <c r="X177" i="31" a="1"/>
  <c r="X177" i="31"/>
  <c r="X176" i="31" a="1"/>
  <c r="X176" i="31"/>
  <c r="X175" i="31" a="1"/>
  <c r="X175" i="31"/>
  <c r="X174" i="31" a="1"/>
  <c r="X174" i="31"/>
  <c r="X173" i="31" a="1"/>
  <c r="X173" i="31"/>
  <c r="X172" i="31" a="1"/>
  <c r="X172" i="31"/>
  <c r="X171" i="31" a="1"/>
  <c r="X171" i="31"/>
  <c r="X170" i="31" a="1"/>
  <c r="X170" i="31"/>
  <c r="X169" i="31" a="1"/>
  <c r="X169" i="31"/>
  <c r="X168" i="31" a="1"/>
  <c r="X168" i="31"/>
  <c r="X167" i="31" a="1"/>
  <c r="X167" i="31"/>
  <c r="X166" i="31" a="1"/>
  <c r="X166" i="31"/>
  <c r="X165" i="31" a="1"/>
  <c r="X165" i="31"/>
  <c r="X164" i="31" a="1"/>
  <c r="X164" i="31"/>
  <c r="X163" i="31" a="1"/>
  <c r="X163" i="31"/>
  <c r="X162" i="31" a="1"/>
  <c r="X162" i="31"/>
  <c r="X161" i="31" a="1"/>
  <c r="X161" i="31"/>
  <c r="X160" i="31" a="1"/>
  <c r="X160" i="31"/>
  <c r="X159" i="31" a="1"/>
  <c r="X159" i="31"/>
  <c r="X158" i="31" a="1"/>
  <c r="X158" i="31"/>
  <c r="X157" i="31" a="1"/>
  <c r="X157" i="31"/>
  <c r="X156" i="31" a="1"/>
  <c r="X156" i="31"/>
  <c r="X155" i="31" a="1"/>
  <c r="X155" i="31"/>
  <c r="X154" i="31" a="1"/>
  <c r="X154" i="31"/>
  <c r="X153" i="31" a="1"/>
  <c r="X153" i="31"/>
  <c r="X152" i="31" a="1"/>
  <c r="X152" i="31"/>
  <c r="X151" i="31" a="1"/>
  <c r="X151" i="31"/>
  <c r="X150" i="31" a="1"/>
  <c r="X150" i="31"/>
  <c r="X149" i="31" a="1"/>
  <c r="X149" i="31"/>
  <c r="X148" i="31" a="1"/>
  <c r="X148" i="31"/>
  <c r="X147" i="31" a="1"/>
  <c r="X147" i="31"/>
  <c r="X146" i="31" a="1"/>
  <c r="X146" i="31"/>
  <c r="X145" i="31" a="1"/>
  <c r="X145" i="31"/>
  <c r="X144" i="31" a="1"/>
  <c r="X144" i="31"/>
  <c r="X143" i="31" a="1"/>
  <c r="X143" i="31"/>
  <c r="X142" i="31" a="1"/>
  <c r="X142" i="31"/>
  <c r="X141" i="31" a="1"/>
  <c r="X141" i="31"/>
  <c r="X140" i="31" a="1"/>
  <c r="X140" i="31"/>
  <c r="X139" i="31" a="1"/>
  <c r="X139" i="31"/>
  <c r="X138" i="31" a="1"/>
  <c r="X138" i="31"/>
  <c r="X137" i="31" a="1"/>
  <c r="X137" i="31"/>
  <c r="X136" i="31" a="1"/>
  <c r="X136" i="31"/>
  <c r="X135" i="31" a="1"/>
  <c r="X135" i="31"/>
  <c r="X134" i="31" a="1"/>
  <c r="X134" i="31"/>
  <c r="X133" i="31" a="1"/>
  <c r="X133" i="31"/>
  <c r="X132" i="31" a="1"/>
  <c r="X132" i="31"/>
  <c r="X131" i="31" a="1"/>
  <c r="X131" i="31"/>
  <c r="X130" i="31" a="1"/>
  <c r="X130" i="31"/>
  <c r="X129" i="31" a="1"/>
  <c r="X129" i="31"/>
  <c r="X128" i="31" a="1"/>
  <c r="X128" i="31"/>
  <c r="X127" i="31" a="1"/>
  <c r="X127" i="31"/>
  <c r="X126" i="31" a="1"/>
  <c r="X126" i="31"/>
  <c r="X125" i="31" a="1"/>
  <c r="X125" i="31"/>
  <c r="X124" i="31" a="1"/>
  <c r="X124" i="31"/>
  <c r="X123" i="31" a="1"/>
  <c r="X123" i="31"/>
  <c r="X122" i="31" a="1"/>
  <c r="X122" i="31"/>
  <c r="X121" i="31" a="1"/>
  <c r="X121" i="31"/>
  <c r="X120" i="31" a="1"/>
  <c r="X120" i="31"/>
  <c r="X119" i="31" a="1"/>
  <c r="X119" i="31"/>
  <c r="X118" i="31" a="1"/>
  <c r="X118" i="31"/>
  <c r="X117" i="31" a="1"/>
  <c r="X117" i="31"/>
  <c r="X116" i="31" a="1"/>
  <c r="X116" i="31"/>
  <c r="X115" i="31" a="1"/>
  <c r="X115" i="31"/>
  <c r="X114" i="31" a="1"/>
  <c r="X114" i="31"/>
  <c r="X113" i="31" a="1"/>
  <c r="X113" i="31"/>
  <c r="X112" i="31" a="1"/>
  <c r="X112" i="31"/>
  <c r="X111" i="31" a="1"/>
  <c r="X111" i="31"/>
  <c r="X110" i="31" a="1"/>
  <c r="X110" i="31"/>
  <c r="X109" i="31" a="1"/>
  <c r="X109" i="31"/>
  <c r="X108" i="31" a="1"/>
  <c r="X108" i="31"/>
  <c r="X107" i="31" a="1"/>
  <c r="X107" i="31"/>
  <c r="X106" i="31" a="1"/>
  <c r="X106" i="31"/>
  <c r="X105" i="31" a="1"/>
  <c r="X105" i="31"/>
  <c r="X104" i="31" a="1"/>
  <c r="X104" i="31"/>
  <c r="X103" i="31" a="1"/>
  <c r="X103" i="31"/>
  <c r="X102" i="31" a="1"/>
  <c r="X102" i="31"/>
  <c r="X101" i="31" a="1"/>
  <c r="X101" i="31"/>
  <c r="X100" i="31" a="1"/>
  <c r="X100" i="31"/>
  <c r="X99" i="31" a="1"/>
  <c r="X99" i="31"/>
  <c r="X98" i="31" a="1"/>
  <c r="X98" i="31"/>
  <c r="X97" i="31" a="1"/>
  <c r="X97" i="31"/>
  <c r="X96" i="31" a="1"/>
  <c r="X96" i="31"/>
  <c r="X95" i="31" a="1"/>
  <c r="X95" i="31"/>
  <c r="X94" i="31" a="1"/>
  <c r="X94" i="31"/>
  <c r="X93" i="31" a="1"/>
  <c r="X93" i="31"/>
  <c r="X92" i="31" a="1"/>
  <c r="X92" i="31"/>
  <c r="X91" i="31" a="1"/>
  <c r="X91" i="31"/>
  <c r="X90" i="31" a="1"/>
  <c r="X90" i="31"/>
  <c r="X89" i="31" a="1"/>
  <c r="X89" i="31"/>
  <c r="X88" i="31" a="1"/>
  <c r="X88" i="31"/>
  <c r="X87" i="31" a="1"/>
  <c r="X87" i="31"/>
  <c r="X86" i="31" a="1"/>
  <c r="X86" i="31"/>
  <c r="X85" i="31" a="1"/>
  <c r="X85" i="31"/>
  <c r="X84" i="31" a="1"/>
  <c r="X84" i="31"/>
  <c r="X83" i="31" a="1"/>
  <c r="X83" i="31"/>
  <c r="X82" i="31" a="1"/>
  <c r="X82" i="31"/>
  <c r="X81" i="31" a="1"/>
  <c r="X81" i="31"/>
  <c r="X80" i="31" a="1"/>
  <c r="X80" i="31"/>
  <c r="X79" i="31" a="1"/>
  <c r="X79" i="31"/>
  <c r="X78" i="31" a="1"/>
  <c r="X78" i="31"/>
  <c r="X77" i="31" a="1"/>
  <c r="X77" i="31"/>
  <c r="X76" i="31" a="1"/>
  <c r="X76" i="31"/>
  <c r="X75" i="31" a="1"/>
  <c r="X75" i="31"/>
  <c r="X74" i="31" a="1"/>
  <c r="X74" i="31"/>
  <c r="X73" i="31" a="1"/>
  <c r="X73" i="31"/>
  <c r="X72" i="31" a="1"/>
  <c r="X72" i="31"/>
  <c r="X71" i="31" a="1"/>
  <c r="X71" i="31"/>
  <c r="X70" i="31" a="1"/>
  <c r="X70" i="31"/>
  <c r="X69" i="31" a="1"/>
  <c r="X69" i="31"/>
  <c r="X68" i="31" a="1"/>
  <c r="X68" i="31"/>
  <c r="X67" i="31" a="1"/>
  <c r="X67" i="31"/>
  <c r="X66" i="31" a="1"/>
  <c r="X66" i="31"/>
  <c r="X65" i="31" a="1"/>
  <c r="X65" i="31"/>
  <c r="X64" i="31" a="1"/>
  <c r="X64" i="31"/>
  <c r="X63" i="31" a="1"/>
  <c r="X63" i="31"/>
  <c r="X62" i="31" a="1"/>
  <c r="X62" i="31"/>
  <c r="X61" i="31" a="1"/>
  <c r="X61" i="31"/>
  <c r="X60" i="31" a="1"/>
  <c r="X60" i="31"/>
  <c r="X59" i="31" a="1"/>
  <c r="X59" i="31"/>
  <c r="X58" i="31" a="1"/>
  <c r="X58" i="31"/>
  <c r="X57" i="31" a="1"/>
  <c r="X57" i="31"/>
  <c r="X56" i="31" a="1"/>
  <c r="X56" i="31"/>
  <c r="X55" i="31" a="1"/>
  <c r="X55" i="31"/>
  <c r="X54" i="31" a="1"/>
  <c r="X54" i="31"/>
  <c r="X53" i="31" a="1"/>
  <c r="X53" i="31"/>
  <c r="X52" i="31" a="1"/>
  <c r="X52" i="31"/>
  <c r="X51" i="31" a="1"/>
  <c r="X51" i="31"/>
  <c r="X50" i="31" a="1"/>
  <c r="X50" i="31"/>
  <c r="X49" i="31" a="1"/>
  <c r="X49" i="31"/>
  <c r="X48" i="31" a="1"/>
  <c r="X48" i="31"/>
  <c r="X47" i="31" a="1"/>
  <c r="X47" i="31"/>
  <c r="X46" i="31" a="1"/>
  <c r="X46" i="31"/>
  <c r="X45" i="31" a="1"/>
  <c r="X45" i="31"/>
  <c r="X44" i="31" a="1"/>
  <c r="X44" i="31"/>
  <c r="X43" i="31" a="1"/>
  <c r="X43" i="31"/>
  <c r="X42" i="31" a="1"/>
  <c r="X42" i="31"/>
  <c r="X41" i="31" a="1"/>
  <c r="X41" i="31"/>
  <c r="X40" i="31" a="1"/>
  <c r="X40" i="31"/>
  <c r="X39" i="31" a="1"/>
  <c r="X39" i="31"/>
  <c r="X38" i="31" a="1"/>
  <c r="X38" i="31"/>
  <c r="X37" i="31" a="1"/>
  <c r="X37" i="31"/>
  <c r="X36" i="31" a="1"/>
  <c r="X36" i="31"/>
  <c r="X35" i="31" a="1"/>
  <c r="X35" i="31"/>
  <c r="X34" i="31" a="1"/>
  <c r="X34" i="31"/>
  <c r="X33" i="31" a="1"/>
  <c r="X33" i="31"/>
  <c r="X32" i="31" a="1"/>
  <c r="X32" i="31"/>
  <c r="X31" i="31" a="1"/>
  <c r="X31" i="31"/>
  <c r="X30" i="31" a="1"/>
  <c r="X30" i="31"/>
  <c r="X29" i="31" a="1"/>
  <c r="X29" i="31"/>
  <c r="X28" i="31" a="1"/>
  <c r="X28" i="31"/>
  <c r="X27" i="31" a="1"/>
  <c r="X27" i="31"/>
  <c r="X26" i="31" a="1"/>
  <c r="X26" i="31"/>
  <c r="X25" i="31" a="1"/>
  <c r="X25" i="31"/>
  <c r="X24" i="31" a="1"/>
  <c r="X24" i="31"/>
  <c r="X23" i="31" a="1"/>
  <c r="X23" i="31"/>
  <c r="X22" i="31" a="1"/>
  <c r="X22" i="31"/>
  <c r="X21" i="31" a="1"/>
  <c r="X21" i="31"/>
  <c r="X20" i="31" a="1"/>
  <c r="X20" i="31"/>
  <c r="X19" i="31" a="1"/>
  <c r="X19" i="31"/>
  <c r="X18" i="31" a="1"/>
  <c r="X18" i="31"/>
  <c r="X17" i="31" a="1"/>
  <c r="X17" i="31"/>
  <c r="X16" i="31" a="1"/>
  <c r="X16" i="31"/>
  <c r="X15" i="31" a="1"/>
  <c r="X15" i="31"/>
  <c r="X14" i="31" a="1"/>
  <c r="X14" i="31"/>
  <c r="X13" i="31" a="1"/>
  <c r="X13" i="31"/>
  <c r="X12" i="31" a="1"/>
  <c r="X12" i="31"/>
  <c r="X11" i="31" a="1"/>
  <c r="X11" i="31"/>
  <c r="X10" i="31" a="1"/>
  <c r="X10" i="31"/>
  <c r="X9" i="31" a="1"/>
  <c r="X9" i="31"/>
  <c r="X8" i="31" a="1"/>
  <c r="X8" i="31"/>
  <c r="X7" i="31" a="1"/>
  <c r="X7" i="31"/>
  <c r="F10" i="35" a="1"/>
  <c r="F10" i="35"/>
  <c r="D10" i="25" a="1"/>
  <c r="D10" i="25"/>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a="1"/>
  <c r="F2" i="37"/>
  <c r="C3" i="27"/>
  <c r="U13" i="27" a="1"/>
  <c r="U13" i="27"/>
  <c r="U14" i="27" a="1"/>
  <c r="U14" i="27"/>
  <c r="U16" i="27" a="1"/>
  <c r="U16" i="27"/>
  <c r="U18" i="27" a="1"/>
  <c r="U18" i="27"/>
  <c r="U17" i="27" a="1"/>
  <c r="U17" i="27"/>
  <c r="U19" i="27" a="1"/>
  <c r="U19" i="27"/>
  <c r="U15" i="27" a="1"/>
  <c r="U15" i="27"/>
  <c r="C4" i="27"/>
  <c r="B26" i="25" a="1"/>
  <c r="B26" i="25"/>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a="1"/>
  <c r="A2" i="38" a="1"/>
  <c r="A2" i="38"/>
  <c r="L2" i="38"/>
  <c r="B31" i="30" a="1"/>
  <c r="B31" i="30"/>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c r="F3" i="22"/>
  <c r="D3" i="22"/>
  <c r="F4" i="22"/>
  <c r="D4" i="22"/>
  <c r="F5" i="22"/>
  <c r="D5" i="22"/>
  <c r="F6" i="22"/>
  <c r="D6" i="22"/>
  <c r="F7" i="22"/>
  <c r="D7" i="22"/>
  <c r="F8" i="22"/>
  <c r="D8" i="22"/>
  <c r="F9" i="22"/>
  <c r="D9" i="22"/>
  <c r="F10" i="22"/>
  <c r="D10" i="22"/>
  <c r="F11" i="22"/>
  <c r="D11" i="22"/>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c r="C13" i="36"/>
  <c r="C12" i="36"/>
  <c r="C11" i="36"/>
  <c r="A5" i="34"/>
  <c r="A6" i="34"/>
  <c r="B26" i="35" a="1"/>
  <c r="B26" i="35"/>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M6" i="38"/>
  <c r="M7" i="38"/>
  <c r="L6" i="38"/>
  <c r="L7" i="38"/>
  <c r="B32" i="36"/>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c r="I15" i="36" a="1"/>
  <c r="I15" i="36"/>
  <c r="E15" i="30" a="1"/>
  <c r="E15" i="30"/>
  <c r="T8" i="17"/>
  <c r="T6" i="17"/>
  <c r="J5" i="16"/>
  <c r="V5" i="16"/>
  <c r="AH4" i="32"/>
  <c r="AC2" i="26" a="1"/>
  <c r="AC2" i="26"/>
  <c r="A48" i="11" a="1"/>
  <c r="A48" i="11"/>
  <c r="C2" i="22" a="1"/>
  <c r="C2" i="22"/>
  <c r="T7" i="17"/>
  <c r="T9" i="17"/>
  <c r="T10" i="17"/>
  <c r="J5" i="34"/>
  <c r="A20" i="11" a="1"/>
  <c r="B65" i="11" a="1"/>
  <c r="B65" i="11"/>
  <c r="B66" i="11" a="1"/>
  <c r="B66" i="11"/>
  <c r="B67" i="11" a="1"/>
  <c r="B67" i="11"/>
  <c r="B68" i="11" a="1"/>
  <c r="B68" i="11"/>
  <c r="B69" i="11" a="1"/>
  <c r="B69" i="11"/>
  <c r="B70" i="11" a="1"/>
  <c r="B70" i="11"/>
  <c r="B71" i="11" a="1"/>
  <c r="B71" i="11"/>
  <c r="B72" i="11" a="1"/>
  <c r="B72" i="11"/>
  <c r="B73" i="11" a="1"/>
  <c r="B73" i="11"/>
  <c r="B23" i="11" a="1"/>
  <c r="B23" i="11"/>
  <c r="B24" i="11" a="1"/>
  <c r="B24" i="11"/>
  <c r="B25" i="11" a="1"/>
  <c r="B25" i="11"/>
  <c r="B26" i="11" a="1"/>
  <c r="B26" i="11"/>
  <c r="B27" i="11" a="1"/>
  <c r="B27" i="11"/>
  <c r="B28" i="11" a="1"/>
  <c r="B28" i="11"/>
  <c r="B29" i="11" a="1"/>
  <c r="B29" i="11"/>
  <c r="B30" i="11" a="1"/>
  <c r="B30" i="11"/>
  <c r="B31" i="11" a="1"/>
  <c r="B31" i="11"/>
  <c r="A20" i="11"/>
  <c r="B20" i="11" a="1"/>
  <c r="B20" i="11"/>
  <c r="B21" i="11" a="1"/>
  <c r="B21" i="11"/>
  <c r="B22" i="11" a="1"/>
  <c r="B22" i="11"/>
  <c r="D32" i="36"/>
  <c r="D52" i="36"/>
  <c r="E52" i="36"/>
  <c r="D51" i="36"/>
  <c r="E51" i="36"/>
  <c r="D50" i="36"/>
  <c r="E50" i="36"/>
  <c r="D49" i="36"/>
  <c r="E49" i="36"/>
  <c r="D48" i="36"/>
  <c r="E48" i="36"/>
  <c r="D47" i="36"/>
  <c r="E47" i="36"/>
  <c r="D46" i="36"/>
  <c r="D45" i="36"/>
  <c r="X5" i="34"/>
  <c r="Y5" i="34"/>
  <c r="B93" i="11"/>
  <c r="B79" i="11" a="1"/>
  <c r="B79" i="11"/>
  <c r="B94" i="11"/>
  <c r="B80" i="11" a="1"/>
  <c r="B80" i="11"/>
  <c r="B95" i="11"/>
  <c r="B81" i="11" a="1"/>
  <c r="B81" i="11"/>
  <c r="B96" i="11"/>
  <c r="B82" i="11" a="1"/>
  <c r="B82" i="11"/>
  <c r="B97" i="11"/>
  <c r="B83" i="11" a="1"/>
  <c r="B83" i="11"/>
  <c r="B98" i="11"/>
  <c r="B84" i="11" a="1"/>
  <c r="B84" i="11"/>
  <c r="B99" i="11"/>
  <c r="B85" i="11" a="1"/>
  <c r="B85" i="11"/>
  <c r="B100" i="11"/>
  <c r="B86" i="11" a="1"/>
  <c r="B86" i="11"/>
  <c r="B101" i="11"/>
  <c r="B87" i="11" a="1"/>
  <c r="B87" i="11"/>
  <c r="B51" i="11"/>
  <c r="B37" i="11" a="1"/>
  <c r="B37" i="11"/>
  <c r="B52" i="11"/>
  <c r="B38" i="11" a="1"/>
  <c r="B38" i="11"/>
  <c r="B53" i="11"/>
  <c r="B39" i="11" a="1"/>
  <c r="B39" i="11"/>
  <c r="B54" i="11"/>
  <c r="B40" i="11" a="1"/>
  <c r="B40" i="11"/>
  <c r="B55" i="11"/>
  <c r="B41" i="11" a="1"/>
  <c r="B41" i="11"/>
  <c r="B56" i="11"/>
  <c r="B42" i="11" a="1"/>
  <c r="B42" i="11"/>
  <c r="B57" i="11"/>
  <c r="B43" i="11" a="1"/>
  <c r="B43" i="11"/>
  <c r="B58" i="11"/>
  <c r="B44" i="11" a="1"/>
  <c r="B44" i="11"/>
  <c r="B59" i="11"/>
  <c r="B45" i="11" a="1"/>
  <c r="B45" i="11"/>
  <c r="D26" i="25"/>
  <c r="D27" i="25"/>
  <c r="D28" i="25"/>
  <c r="D29" i="25"/>
  <c r="E29" i="25"/>
  <c r="D30" i="25"/>
  <c r="E30" i="25"/>
  <c r="D31" i="25"/>
  <c r="E31" i="25"/>
  <c r="D32" i="25"/>
  <c r="E32" i="25"/>
  <c r="D33" i="25"/>
  <c r="E33" i="25"/>
  <c r="L5" i="27"/>
  <c r="L4" i="27"/>
  <c r="L2" i="27"/>
  <c r="D26" i="35"/>
  <c r="D39" i="36"/>
  <c r="E39" i="36"/>
  <c r="D38" i="36"/>
  <c r="E38" i="36"/>
  <c r="D37" i="36"/>
  <c r="E37" i="36"/>
  <c r="D36" i="36"/>
  <c r="E36" i="36"/>
  <c r="D35" i="36"/>
  <c r="E35" i="36"/>
  <c r="D34" i="36"/>
  <c r="E34" i="36"/>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c r="D34" i="30"/>
  <c r="E34" i="30"/>
  <c r="D35" i="30"/>
  <c r="E35" i="30"/>
  <c r="D36" i="30"/>
  <c r="E36" i="30"/>
  <c r="D37" i="30"/>
  <c r="E37" i="30"/>
  <c r="D38" i="30"/>
  <c r="E38" i="30"/>
  <c r="D27" i="35"/>
  <c r="L3" i="27"/>
  <c r="D28" i="35"/>
  <c r="D29" i="35"/>
  <c r="E29" i="35"/>
  <c r="D30" i="35"/>
  <c r="E30" i="35"/>
  <c r="D31" i="35"/>
  <c r="E31" i="35"/>
  <c r="D32" i="35"/>
  <c r="E32" i="35"/>
  <c r="D33" i="35"/>
  <c r="E33" i="35"/>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c r="A76" i="11" a="1"/>
  <c r="A76" i="1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c r="B63" i="11" a="1"/>
  <c r="B64" i="11" a="1"/>
  <c r="C92" i="11"/>
  <c r="D92" i="11"/>
  <c r="E92" i="11"/>
  <c r="F92" i="11"/>
  <c r="B36" i="11" a="1"/>
  <c r="B36" i="11"/>
  <c r="B49" i="11"/>
  <c r="A62" i="11"/>
  <c r="B62" i="11" a="1"/>
  <c r="B64" i="11"/>
  <c r="B92" i="11"/>
  <c r="G92" i="11"/>
  <c r="B63" i="11"/>
  <c r="G91" i="11"/>
  <c r="B62" i="11"/>
  <c r="G90" i="11"/>
  <c r="D91" i="11"/>
  <c r="E91" i="11"/>
  <c r="F91" i="11"/>
  <c r="C91" i="11"/>
  <c r="C49" i="11"/>
  <c r="D49" i="11"/>
  <c r="E49" i="11"/>
  <c r="F49" i="11"/>
  <c r="G49" i="11"/>
  <c r="H49" i="11"/>
  <c r="I49" i="11"/>
  <c r="B78" i="11" a="1"/>
  <c r="B78" i="11"/>
  <c r="D90" i="11"/>
  <c r="E90" i="11"/>
  <c r="F90" i="11"/>
  <c r="H7" i="17"/>
  <c r="H6" i="17"/>
  <c r="H8" i="17"/>
  <c r="H9" i="17"/>
  <c r="H10" i="17"/>
  <c r="H11" i="17"/>
  <c r="H12" i="17"/>
  <c r="H13" i="17"/>
  <c r="H14" i="17"/>
  <c r="H15" i="17"/>
  <c r="H16" i="17"/>
  <c r="H17" i="17"/>
  <c r="H18" i="17"/>
  <c r="H19" i="17"/>
  <c r="H20" i="17"/>
  <c r="H21" i="17"/>
  <c r="H22" i="17"/>
  <c r="H23" i="17"/>
  <c r="H24" i="17"/>
  <c r="H25" i="17"/>
  <c r="Q25" i="17" a="1"/>
  <c r="Q25" i="17"/>
  <c r="H26" i="17"/>
  <c r="Q26" i="17" a="1"/>
  <c r="Q26" i="17"/>
  <c r="H27" i="17"/>
  <c r="Q27" i="17" a="1"/>
  <c r="Q27" i="17"/>
  <c r="H28" i="17"/>
  <c r="Q28" i="17" a="1"/>
  <c r="Q28" i="17"/>
  <c r="H29" i="17"/>
  <c r="Q29" i="17" a="1"/>
  <c r="Q29" i="17"/>
  <c r="H30" i="17"/>
  <c r="Q30" i="17" a="1"/>
  <c r="Q30" i="17"/>
  <c r="H31" i="17"/>
  <c r="Q31" i="17" a="1"/>
  <c r="Q31" i="17"/>
  <c r="H32" i="17"/>
  <c r="Q32" i="17" a="1"/>
  <c r="Q32" i="17"/>
  <c r="H33" i="17"/>
  <c r="Q33" i="17" a="1"/>
  <c r="Q33" i="17"/>
  <c r="H34" i="17"/>
  <c r="Q34" i="17" a="1"/>
  <c r="Q34" i="17"/>
  <c r="H35" i="17"/>
  <c r="Q35" i="17" a="1"/>
  <c r="Q35" i="17"/>
  <c r="H36" i="17"/>
  <c r="Q36" i="17" a="1"/>
  <c r="Q36" i="17"/>
  <c r="H37" i="17"/>
  <c r="Q37" i="17" a="1"/>
  <c r="Q37" i="17"/>
  <c r="H38" i="17"/>
  <c r="Q38" i="17" a="1"/>
  <c r="Q38" i="17"/>
  <c r="H39" i="17"/>
  <c r="Q39" i="17" a="1"/>
  <c r="Q39" i="17"/>
  <c r="H40" i="17"/>
  <c r="Q40" i="17" a="1"/>
  <c r="Q40" i="17"/>
  <c r="H41" i="17"/>
  <c r="Q41" i="17" a="1"/>
  <c r="Q41" i="17"/>
  <c r="H42" i="17"/>
  <c r="Q42" i="17" a="1"/>
  <c r="Q42" i="17"/>
  <c r="H43" i="17"/>
  <c r="Q43" i="17" a="1"/>
  <c r="Q43" i="17"/>
  <c r="H44" i="17"/>
  <c r="Q44" i="17" a="1"/>
  <c r="Q44" i="17"/>
  <c r="H45" i="17"/>
  <c r="Q45" i="17" a="1"/>
  <c r="Q45" i="17"/>
  <c r="H46" i="17"/>
  <c r="Q46" i="17" a="1"/>
  <c r="Q46" i="17"/>
  <c r="H47" i="17"/>
  <c r="Q47" i="17" a="1"/>
  <c r="Q47" i="17"/>
  <c r="H48" i="17"/>
  <c r="Q48" i="17" a="1"/>
  <c r="Q48" i="17"/>
  <c r="H49" i="17"/>
  <c r="Q49" i="17" a="1"/>
  <c r="Q49" i="17"/>
  <c r="H50" i="17"/>
  <c r="Q50" i="17" a="1"/>
  <c r="Q50" i="17"/>
  <c r="H51" i="17"/>
  <c r="Q51" i="17" a="1"/>
  <c r="Q51" i="17"/>
  <c r="H52" i="17"/>
  <c r="Q52" i="17" a="1"/>
  <c r="Q52" i="17"/>
  <c r="H53" i="17"/>
  <c r="Q53" i="17" a="1"/>
  <c r="Q53" i="17"/>
  <c r="H54" i="17"/>
  <c r="Q54" i="17" a="1"/>
  <c r="Q54" i="17"/>
  <c r="H55" i="17"/>
  <c r="Q55" i="17" a="1"/>
  <c r="Q55" i="17"/>
  <c r="H56" i="17"/>
  <c r="Q56" i="17" a="1"/>
  <c r="Q56" i="17"/>
  <c r="H57" i="17"/>
  <c r="Q57" i="17" a="1"/>
  <c r="Q57" i="17"/>
  <c r="H58" i="17"/>
  <c r="Q58" i="17" a="1"/>
  <c r="Q58" i="17"/>
  <c r="H59" i="17"/>
  <c r="Q59" i="17" a="1"/>
  <c r="Q59" i="17"/>
  <c r="H60" i="17"/>
  <c r="Q60" i="17" a="1"/>
  <c r="Q60" i="17"/>
  <c r="H61" i="17"/>
  <c r="Q61" i="17" a="1"/>
  <c r="Q61" i="17"/>
  <c r="H62" i="17"/>
  <c r="Q62" i="17" a="1"/>
  <c r="Q62" i="17"/>
  <c r="H63" i="17"/>
  <c r="Q63" i="17" a="1"/>
  <c r="Q63" i="17"/>
  <c r="H64" i="17"/>
  <c r="Q64" i="17" a="1"/>
  <c r="Q64" i="17"/>
  <c r="H65" i="17"/>
  <c r="Q65" i="17" a="1"/>
  <c r="Q65" i="17"/>
  <c r="H66" i="17"/>
  <c r="Q66" i="17" a="1"/>
  <c r="Q66" i="17"/>
  <c r="H67" i="17"/>
  <c r="Q67" i="17" a="1"/>
  <c r="Q67" i="17"/>
  <c r="H68" i="17"/>
  <c r="Q68" i="17" a="1"/>
  <c r="Q68" i="17"/>
  <c r="H69" i="17"/>
  <c r="Q69" i="17" a="1"/>
  <c r="Q69" i="17"/>
  <c r="H70" i="17"/>
  <c r="Q70" i="17" a="1"/>
  <c r="Q70" i="17"/>
  <c r="H71" i="17"/>
  <c r="Q71" i="17" a="1"/>
  <c r="Q71" i="17"/>
  <c r="H72" i="17"/>
  <c r="Q72" i="17" a="1"/>
  <c r="Q72" i="17"/>
  <c r="H73" i="17"/>
  <c r="Q73" i="17" a="1"/>
  <c r="Q73" i="17"/>
  <c r="H74" i="17"/>
  <c r="Q74" i="17" a="1"/>
  <c r="Q74" i="17"/>
  <c r="H75" i="17"/>
  <c r="Q75" i="17" a="1"/>
  <c r="Q75" i="17"/>
  <c r="H76" i="17"/>
  <c r="Q76" i="17" a="1"/>
  <c r="Q76" i="17"/>
  <c r="H77" i="17"/>
  <c r="Q77" i="17" a="1"/>
  <c r="Q77" i="17"/>
  <c r="H78" i="17"/>
  <c r="Q78" i="17" a="1"/>
  <c r="Q78" i="17"/>
  <c r="H79" i="17"/>
  <c r="Q79" i="17" a="1"/>
  <c r="Q79" i="17"/>
  <c r="H80" i="17"/>
  <c r="Q80" i="17" a="1"/>
  <c r="Q80" i="17"/>
  <c r="H81" i="17"/>
  <c r="Q81" i="17" a="1"/>
  <c r="Q81" i="17"/>
  <c r="H82" i="17"/>
  <c r="Q82" i="17" a="1"/>
  <c r="Q82" i="17"/>
  <c r="H83" i="17"/>
  <c r="Q83" i="17" a="1"/>
  <c r="Q83" i="17"/>
  <c r="H84" i="17"/>
  <c r="Q84" i="17" a="1"/>
  <c r="Q84" i="17"/>
  <c r="H85" i="17"/>
  <c r="Q85" i="17" a="1"/>
  <c r="Q85" i="17"/>
  <c r="H86" i="17"/>
  <c r="Q86" i="17" a="1"/>
  <c r="Q86" i="17"/>
  <c r="H87" i="17"/>
  <c r="Q87" i="17" a="1"/>
  <c r="Q87" i="17"/>
  <c r="H88" i="17"/>
  <c r="Q88" i="17" a="1"/>
  <c r="Q88" i="17"/>
  <c r="H89" i="17"/>
  <c r="Q89" i="17" a="1"/>
  <c r="Q89" i="17"/>
  <c r="H90" i="17"/>
  <c r="Q90" i="17" a="1"/>
  <c r="Q90" i="17"/>
  <c r="H91" i="17"/>
  <c r="Q91" i="17" a="1"/>
  <c r="Q91" i="17"/>
  <c r="H92" i="17"/>
  <c r="Q92" i="17" a="1"/>
  <c r="Q92" i="17"/>
  <c r="H93" i="17"/>
  <c r="Q93" i="17" a="1"/>
  <c r="Q93" i="17"/>
  <c r="H94" i="17"/>
  <c r="Q94" i="17" a="1"/>
  <c r="Q94" i="17"/>
  <c r="H95" i="17"/>
  <c r="Q95" i="17" a="1"/>
  <c r="Q95" i="17"/>
  <c r="H96" i="17"/>
  <c r="Q96" i="17" a="1"/>
  <c r="Q96" i="17"/>
  <c r="H97" i="17"/>
  <c r="Q97" i="17" a="1"/>
  <c r="Q97" i="17"/>
  <c r="H98" i="17"/>
  <c r="Q98" i="17" a="1"/>
  <c r="Q98" i="17"/>
  <c r="H99" i="17"/>
  <c r="Q99" i="17" a="1"/>
  <c r="Q99" i="17"/>
  <c r="H100" i="17"/>
  <c r="Q100" i="17" a="1"/>
  <c r="Q100" i="17"/>
  <c r="H101" i="17"/>
  <c r="Q101" i="17" a="1"/>
  <c r="Q101" i="17"/>
  <c r="H102" i="17"/>
  <c r="Q102" i="17" a="1"/>
  <c r="Q102" i="17"/>
  <c r="H103" i="17"/>
  <c r="Q103" i="17" a="1"/>
  <c r="Q103" i="17"/>
  <c r="H104" i="17"/>
  <c r="Q104" i="17" a="1"/>
  <c r="Q104" i="17"/>
  <c r="H105" i="17"/>
  <c r="Q105" i="17" a="1"/>
  <c r="Q105" i="17"/>
  <c r="B90" i="11"/>
  <c r="C90" i="11"/>
  <c r="B91" i="11"/>
  <c r="B77" i="11" a="1"/>
  <c r="B77" i="11"/>
  <c r="B48" i="11"/>
  <c r="C48" i="11"/>
  <c r="D48" i="11"/>
  <c r="E48" i="11"/>
  <c r="F48" i="11"/>
  <c r="G48" i="11"/>
  <c r="H48" i="11"/>
  <c r="I48" i="11"/>
  <c r="B35" i="11" a="1"/>
  <c r="B35" i="11"/>
  <c r="B34" i="11" a="1"/>
  <c r="B34" i="11"/>
  <c r="E5" i="6"/>
  <c r="D5" i="21"/>
  <c r="D4" i="21"/>
  <c r="H4" i="21" a="1"/>
  <c r="H4" i="21"/>
  <c r="E4" i="6"/>
  <c r="E34" i="6"/>
  <c r="B76" i="11" a="1"/>
  <c r="B76" i="11"/>
  <c r="F4" i="12"/>
  <c r="S105" i="17" a="1"/>
  <c r="S105" i="17"/>
  <c r="P105" i="17" a="1"/>
  <c r="P105" i="17"/>
  <c r="R105" i="17" a="1"/>
  <c r="R105" i="17"/>
  <c r="S104" i="17" a="1"/>
  <c r="S104" i="17"/>
  <c r="P104" i="17" a="1"/>
  <c r="P104" i="17"/>
  <c r="R104" i="17" a="1"/>
  <c r="R104" i="17"/>
  <c r="S103" i="17" a="1"/>
  <c r="S103" i="17"/>
  <c r="P103" i="17" a="1"/>
  <c r="P103" i="17"/>
  <c r="R103" i="17" a="1"/>
  <c r="R103" i="17"/>
  <c r="S102" i="17" a="1"/>
  <c r="S102" i="17"/>
  <c r="P102" i="17" a="1"/>
  <c r="P102" i="17"/>
  <c r="R102" i="17" a="1"/>
  <c r="R102" i="17"/>
  <c r="S101" i="17" a="1"/>
  <c r="S101" i="17"/>
  <c r="P101" i="17" a="1"/>
  <c r="P101" i="17"/>
  <c r="R101" i="17" a="1"/>
  <c r="R101" i="17"/>
  <c r="S100" i="17" a="1"/>
  <c r="S100" i="17"/>
  <c r="P100" i="17" a="1"/>
  <c r="P100" i="17"/>
  <c r="R100" i="17" a="1"/>
  <c r="R100" i="17"/>
  <c r="S99" i="17" a="1"/>
  <c r="S99" i="17"/>
  <c r="P99" i="17" a="1"/>
  <c r="P99" i="17"/>
  <c r="R99" i="17" a="1"/>
  <c r="R99" i="17"/>
  <c r="S98" i="17" a="1"/>
  <c r="S98" i="17"/>
  <c r="P98" i="17" a="1"/>
  <c r="P98" i="17"/>
  <c r="R98" i="17" a="1"/>
  <c r="R98" i="17"/>
  <c r="S97" i="17" a="1"/>
  <c r="S97" i="17"/>
  <c r="P97" i="17" a="1"/>
  <c r="P97" i="17"/>
  <c r="R97" i="17" a="1"/>
  <c r="R97" i="17"/>
  <c r="S96" i="17" a="1"/>
  <c r="S96" i="17"/>
  <c r="P96" i="17" a="1"/>
  <c r="P96" i="17"/>
  <c r="R96" i="17" a="1"/>
  <c r="R96" i="17"/>
  <c r="S95" i="17" a="1"/>
  <c r="S95" i="17"/>
  <c r="P95" i="17" a="1"/>
  <c r="P95" i="17"/>
  <c r="R95" i="17" a="1"/>
  <c r="R95" i="17"/>
  <c r="S94" i="17" a="1"/>
  <c r="S94" i="17"/>
  <c r="P94" i="17" a="1"/>
  <c r="P94" i="17"/>
  <c r="R94" i="17" a="1"/>
  <c r="R94" i="17"/>
  <c r="S93" i="17" a="1"/>
  <c r="S93" i="17"/>
  <c r="P93" i="17" a="1"/>
  <c r="P93" i="17"/>
  <c r="R93" i="17" a="1"/>
  <c r="R93" i="17"/>
  <c r="S92" i="17" a="1"/>
  <c r="S92" i="17"/>
  <c r="P92" i="17" a="1"/>
  <c r="P92" i="17"/>
  <c r="R92" i="17" a="1"/>
  <c r="R92" i="17"/>
  <c r="S91" i="17" a="1"/>
  <c r="S91" i="17"/>
  <c r="P91" i="17" a="1"/>
  <c r="P91" i="17"/>
  <c r="R91" i="17" a="1"/>
  <c r="R91" i="17"/>
  <c r="S90" i="17" a="1"/>
  <c r="S90" i="17"/>
  <c r="P90" i="17" a="1"/>
  <c r="P90" i="17"/>
  <c r="R90" i="17" a="1"/>
  <c r="R90" i="17"/>
  <c r="S89" i="17" a="1"/>
  <c r="S89" i="17"/>
  <c r="P89" i="17" a="1"/>
  <c r="P89" i="17"/>
  <c r="R89" i="17" a="1"/>
  <c r="R89" i="17"/>
  <c r="S88" i="17" a="1"/>
  <c r="S88" i="17"/>
  <c r="P88" i="17" a="1"/>
  <c r="P88" i="17"/>
  <c r="R88" i="17" a="1"/>
  <c r="R88" i="17"/>
  <c r="S87" i="17" a="1"/>
  <c r="S87" i="17"/>
  <c r="P87" i="17" a="1"/>
  <c r="P87" i="17"/>
  <c r="R87" i="17" a="1"/>
  <c r="R87" i="17"/>
  <c r="S86" i="17" a="1"/>
  <c r="S86" i="17"/>
  <c r="P86" i="17" a="1"/>
  <c r="P86" i="17"/>
  <c r="R86" i="17" a="1"/>
  <c r="R86" i="17"/>
  <c r="S85" i="17" a="1"/>
  <c r="S85" i="17"/>
  <c r="P85" i="17" a="1"/>
  <c r="P85" i="17"/>
  <c r="R85" i="17" a="1"/>
  <c r="R85" i="17"/>
  <c r="S84" i="17" a="1"/>
  <c r="S84" i="17"/>
  <c r="P84" i="17" a="1"/>
  <c r="P84" i="17"/>
  <c r="R84" i="17" a="1"/>
  <c r="R84" i="17"/>
  <c r="S83" i="17" a="1"/>
  <c r="S83" i="17"/>
  <c r="P83" i="17" a="1"/>
  <c r="P83" i="17"/>
  <c r="R83" i="17" a="1"/>
  <c r="R83" i="17"/>
  <c r="S82" i="17" a="1"/>
  <c r="S82" i="17"/>
  <c r="P82" i="17" a="1"/>
  <c r="P82" i="17"/>
  <c r="R82" i="17" a="1"/>
  <c r="R82" i="17"/>
  <c r="S81" i="17" a="1"/>
  <c r="S81" i="17"/>
  <c r="P81" i="17" a="1"/>
  <c r="P81" i="17"/>
  <c r="R81" i="17" a="1"/>
  <c r="R81" i="17"/>
  <c r="S80" i="17" a="1"/>
  <c r="S80" i="17"/>
  <c r="P80" i="17" a="1"/>
  <c r="P80" i="17"/>
  <c r="R80" i="17" a="1"/>
  <c r="R80" i="17"/>
  <c r="S79" i="17" a="1"/>
  <c r="S79" i="17"/>
  <c r="P79" i="17" a="1"/>
  <c r="P79" i="17"/>
  <c r="R79" i="17" a="1"/>
  <c r="R79" i="17"/>
  <c r="S78" i="17" a="1"/>
  <c r="S78" i="17"/>
  <c r="P78" i="17" a="1"/>
  <c r="P78" i="17"/>
  <c r="R78" i="17" a="1"/>
  <c r="R78" i="17"/>
  <c r="S77" i="17" a="1"/>
  <c r="S77" i="17"/>
  <c r="P77" i="17" a="1"/>
  <c r="P77" i="17"/>
  <c r="R77" i="17" a="1"/>
  <c r="R77" i="17"/>
  <c r="S76" i="17" a="1"/>
  <c r="S76" i="17"/>
  <c r="P76" i="17" a="1"/>
  <c r="P76" i="17"/>
  <c r="R76" i="17" a="1"/>
  <c r="R76" i="17"/>
  <c r="S75" i="17" a="1"/>
  <c r="S75" i="17"/>
  <c r="P75" i="17" a="1"/>
  <c r="P75" i="17"/>
  <c r="R75" i="17" a="1"/>
  <c r="R75" i="17"/>
  <c r="S74" i="17" a="1"/>
  <c r="S74" i="17"/>
  <c r="P74" i="17" a="1"/>
  <c r="P74" i="17"/>
  <c r="R74" i="17" a="1"/>
  <c r="R74" i="17"/>
  <c r="S73" i="17" a="1"/>
  <c r="S73" i="17"/>
  <c r="P73" i="17" a="1"/>
  <c r="P73" i="17"/>
  <c r="R73" i="17" a="1"/>
  <c r="R73" i="17"/>
  <c r="S72" i="17" a="1"/>
  <c r="S72" i="17"/>
  <c r="P72" i="17" a="1"/>
  <c r="P72" i="17"/>
  <c r="R72" i="17" a="1"/>
  <c r="R72" i="17"/>
  <c r="S71" i="17" a="1"/>
  <c r="S71" i="17"/>
  <c r="P71" i="17" a="1"/>
  <c r="P71" i="17"/>
  <c r="R71" i="17" a="1"/>
  <c r="R71" i="17"/>
  <c r="S70" i="17" a="1"/>
  <c r="S70" i="17"/>
  <c r="P70" i="17" a="1"/>
  <c r="P70" i="17"/>
  <c r="R70" i="17" a="1"/>
  <c r="R70" i="17"/>
  <c r="S69" i="17" a="1"/>
  <c r="S69" i="17"/>
  <c r="P69" i="17" a="1"/>
  <c r="P69" i="17"/>
  <c r="R69" i="17" a="1"/>
  <c r="R69" i="17"/>
  <c r="S68" i="17" a="1"/>
  <c r="S68" i="17"/>
  <c r="P68" i="17" a="1"/>
  <c r="P68" i="17"/>
  <c r="R68" i="17" a="1"/>
  <c r="R68" i="17"/>
  <c r="S67" i="17" a="1"/>
  <c r="S67" i="17"/>
  <c r="P67" i="17" a="1"/>
  <c r="P67" i="17"/>
  <c r="R67" i="17" a="1"/>
  <c r="R67" i="17"/>
  <c r="S66" i="17" a="1"/>
  <c r="S66" i="17"/>
  <c r="P66" i="17" a="1"/>
  <c r="P66" i="17"/>
  <c r="R66" i="17" a="1"/>
  <c r="R66" i="17"/>
  <c r="S65" i="17" a="1"/>
  <c r="S65" i="17"/>
  <c r="P65" i="17" a="1"/>
  <c r="P65" i="17"/>
  <c r="R65" i="17" a="1"/>
  <c r="R65" i="17"/>
  <c r="S64" i="17" a="1"/>
  <c r="S64" i="17"/>
  <c r="P64" i="17" a="1"/>
  <c r="P64" i="17"/>
  <c r="R64" i="17" a="1"/>
  <c r="R64" i="17"/>
  <c r="S63" i="17" a="1"/>
  <c r="S63" i="17"/>
  <c r="P63" i="17" a="1"/>
  <c r="P63" i="17"/>
  <c r="R63" i="17" a="1"/>
  <c r="R63" i="17"/>
  <c r="S62" i="17" a="1"/>
  <c r="S62" i="17"/>
  <c r="P62" i="17" a="1"/>
  <c r="P62" i="17"/>
  <c r="R62" i="17" a="1"/>
  <c r="R62" i="17"/>
  <c r="S61" i="17" a="1"/>
  <c r="S61" i="17"/>
  <c r="P61" i="17" a="1"/>
  <c r="P61" i="17"/>
  <c r="R61" i="17" a="1"/>
  <c r="R61" i="17"/>
  <c r="S60" i="17" a="1"/>
  <c r="S60" i="17"/>
  <c r="P60" i="17" a="1"/>
  <c r="P60" i="17"/>
  <c r="R60" i="17" a="1"/>
  <c r="R60" i="17"/>
  <c r="S59" i="17" a="1"/>
  <c r="S59" i="17"/>
  <c r="P59" i="17" a="1"/>
  <c r="P59" i="17"/>
  <c r="R59" i="17" a="1"/>
  <c r="R59" i="17"/>
  <c r="S58" i="17" a="1"/>
  <c r="S58" i="17"/>
  <c r="P58" i="17" a="1"/>
  <c r="P58" i="17"/>
  <c r="R58" i="17" a="1"/>
  <c r="R58" i="17"/>
  <c r="S57" i="17" a="1"/>
  <c r="S57" i="17"/>
  <c r="P57" i="17" a="1"/>
  <c r="P57" i="17"/>
  <c r="R57" i="17" a="1"/>
  <c r="R57" i="17"/>
  <c r="S56" i="17" a="1"/>
  <c r="S56" i="17"/>
  <c r="P56" i="17" a="1"/>
  <c r="P56" i="17"/>
  <c r="R56" i="17" a="1"/>
  <c r="R56" i="17"/>
  <c r="S55" i="17" a="1"/>
  <c r="S55" i="17"/>
  <c r="P55" i="17" a="1"/>
  <c r="P55" i="17"/>
  <c r="R55" i="17" a="1"/>
  <c r="R55" i="17"/>
  <c r="S54" i="17" a="1"/>
  <c r="S54" i="17"/>
  <c r="P54" i="17" a="1"/>
  <c r="P54" i="17"/>
  <c r="R54" i="17" a="1"/>
  <c r="R54" i="17"/>
  <c r="S53" i="17" a="1"/>
  <c r="S53" i="17"/>
  <c r="P53" i="17" a="1"/>
  <c r="P53" i="17"/>
  <c r="R53" i="17" a="1"/>
  <c r="R53" i="17"/>
  <c r="S52" i="17" a="1"/>
  <c r="S52" i="17"/>
  <c r="P52" i="17" a="1"/>
  <c r="P52" i="17"/>
  <c r="R52" i="17" a="1"/>
  <c r="R52" i="17"/>
  <c r="S51" i="17" a="1"/>
  <c r="S51" i="17"/>
  <c r="P51" i="17" a="1"/>
  <c r="P51" i="17"/>
  <c r="R51" i="17" a="1"/>
  <c r="R51" i="17"/>
  <c r="S50" i="17" a="1"/>
  <c r="S50" i="17"/>
  <c r="P50" i="17" a="1"/>
  <c r="P50" i="17"/>
  <c r="R50" i="17" a="1"/>
  <c r="R50" i="17"/>
  <c r="S49" i="17" a="1"/>
  <c r="S49" i="17"/>
  <c r="P49" i="17" a="1"/>
  <c r="P49" i="17"/>
  <c r="R49" i="17" a="1"/>
  <c r="R49" i="17"/>
  <c r="S48" i="17" a="1"/>
  <c r="S48" i="17"/>
  <c r="P48" i="17" a="1"/>
  <c r="P48" i="17"/>
  <c r="R48" i="17" a="1"/>
  <c r="R48" i="17"/>
  <c r="S47" i="17" a="1"/>
  <c r="S47" i="17"/>
  <c r="P47" i="17" a="1"/>
  <c r="P47" i="17"/>
  <c r="R47" i="17" a="1"/>
  <c r="R47" i="17"/>
  <c r="S46" i="17" a="1"/>
  <c r="S46" i="17"/>
  <c r="P46" i="17" a="1"/>
  <c r="P46" i="17"/>
  <c r="R46" i="17" a="1"/>
  <c r="R46" i="17"/>
  <c r="S45" i="17" a="1"/>
  <c r="S45" i="17"/>
  <c r="P45" i="17" a="1"/>
  <c r="P45" i="17"/>
  <c r="R45" i="17" a="1"/>
  <c r="R45" i="17"/>
  <c r="S44" i="17" a="1"/>
  <c r="S44" i="17"/>
  <c r="P44" i="17" a="1"/>
  <c r="P44" i="17"/>
  <c r="R44" i="17" a="1"/>
  <c r="R44" i="17"/>
  <c r="S43" i="17" a="1"/>
  <c r="S43" i="17"/>
  <c r="P43" i="17" a="1"/>
  <c r="P43" i="17"/>
  <c r="R43" i="17" a="1"/>
  <c r="R43" i="17"/>
  <c r="S42" i="17" a="1"/>
  <c r="S42" i="17"/>
  <c r="P42" i="17" a="1"/>
  <c r="P42" i="17"/>
  <c r="R42" i="17" a="1"/>
  <c r="R42" i="17"/>
  <c r="S41" i="17" a="1"/>
  <c r="S41" i="17"/>
  <c r="P41" i="17" a="1"/>
  <c r="P41" i="17"/>
  <c r="R41" i="17" a="1"/>
  <c r="R41" i="17"/>
  <c r="S40" i="17" a="1"/>
  <c r="S40" i="17"/>
  <c r="P40" i="17" a="1"/>
  <c r="P40" i="17"/>
  <c r="R40" i="17" a="1"/>
  <c r="R40" i="17"/>
  <c r="S39" i="17" a="1"/>
  <c r="S39" i="17"/>
  <c r="P39" i="17" a="1"/>
  <c r="P39" i="17"/>
  <c r="R39" i="17" a="1"/>
  <c r="R39" i="17"/>
  <c r="S38" i="17" a="1"/>
  <c r="S38" i="17"/>
  <c r="P38" i="17" a="1"/>
  <c r="P38" i="17"/>
  <c r="R38" i="17" a="1"/>
  <c r="R38" i="17"/>
  <c r="S37" i="17" a="1"/>
  <c r="S37" i="17"/>
  <c r="P37" i="17" a="1"/>
  <c r="P37" i="17"/>
  <c r="R37" i="17" a="1"/>
  <c r="R37" i="17"/>
  <c r="S36" i="17" a="1"/>
  <c r="S36" i="17"/>
  <c r="P36" i="17" a="1"/>
  <c r="P36" i="17"/>
  <c r="R36" i="17" a="1"/>
  <c r="R36" i="17"/>
  <c r="S35" i="17" a="1"/>
  <c r="S35" i="17"/>
  <c r="P35" i="17" a="1"/>
  <c r="P35" i="17"/>
  <c r="R35" i="17" a="1"/>
  <c r="R35" i="17"/>
  <c r="S34" i="17" a="1"/>
  <c r="S34" i="17"/>
  <c r="P34" i="17" a="1"/>
  <c r="P34" i="17"/>
  <c r="R34" i="17" a="1"/>
  <c r="R34" i="17"/>
  <c r="S33" i="17" a="1"/>
  <c r="S33" i="17"/>
  <c r="P33" i="17" a="1"/>
  <c r="P33" i="17"/>
  <c r="R33" i="17" a="1"/>
  <c r="R33" i="17"/>
  <c r="S32" i="17" a="1"/>
  <c r="S32" i="17"/>
  <c r="P32" i="17" a="1"/>
  <c r="P32" i="17"/>
  <c r="R32" i="17" a="1"/>
  <c r="R32" i="17"/>
  <c r="S31" i="17" a="1"/>
  <c r="S31" i="17"/>
  <c r="P31" i="17" a="1"/>
  <c r="P31" i="17"/>
  <c r="R31" i="17" a="1"/>
  <c r="R31" i="17"/>
  <c r="S30" i="17" a="1"/>
  <c r="S30" i="17"/>
  <c r="P30" i="17" a="1"/>
  <c r="P30" i="17"/>
  <c r="R30" i="17" a="1"/>
  <c r="R30" i="17"/>
  <c r="S29" i="17" a="1"/>
  <c r="S29" i="17"/>
  <c r="P29" i="17" a="1"/>
  <c r="P29" i="17"/>
  <c r="R29" i="17" a="1"/>
  <c r="R29" i="17"/>
  <c r="S28" i="17" a="1"/>
  <c r="S28" i="17"/>
  <c r="P28" i="17" a="1"/>
  <c r="P28" i="17"/>
  <c r="R28" i="17" a="1"/>
  <c r="R28" i="17"/>
  <c r="S27" i="17" a="1"/>
  <c r="S27" i="17"/>
  <c r="P27" i="17" a="1"/>
  <c r="P27" i="17"/>
  <c r="R27" i="17" a="1"/>
  <c r="R27" i="17"/>
  <c r="S26" i="17" a="1"/>
  <c r="S26" i="17"/>
  <c r="P26" i="17" a="1"/>
  <c r="P26" i="17"/>
  <c r="R26" i="17" a="1"/>
  <c r="R26" i="17"/>
  <c r="S25" i="17" a="1"/>
  <c r="S25" i="17"/>
  <c r="P25" i="17" a="1"/>
  <c r="P25" i="17"/>
  <c r="R25" i="17" a="1"/>
  <c r="R25" i="17"/>
  <c r="E4" i="21"/>
  <c r="E5" i="21"/>
  <c r="H5" i="21" a="1"/>
  <c r="H5" i="21"/>
  <c r="F3" i="12"/>
  <c r="F5" i="12"/>
  <c r="F6" i="12"/>
  <c r="F7" i="12"/>
  <c r="F8" i="12"/>
  <c r="F9" i="12"/>
  <c r="L2" i="26" a="1"/>
  <c r="O3" i="26"/>
  <c r="O4" i="26"/>
  <c r="O5" i="26"/>
  <c r="O6" i="26"/>
  <c r="O7" i="26"/>
  <c r="L2" i="26"/>
  <c r="F4" i="6"/>
  <c r="F5" i="6"/>
  <c r="O2" i="26"/>
  <c r="P2001" i="31" a="1"/>
  <c r="P2001" i="31"/>
  <c r="V2001" i="31" a="1"/>
  <c r="V2001" i="31"/>
  <c r="X2001" i="31" a="1"/>
  <c r="X2001" i="31"/>
  <c r="O2001" i="31" a="1"/>
  <c r="O2001" i="31"/>
  <c r="U2001" i="31" a="1"/>
  <c r="U2001" i="31"/>
  <c r="W2001" i="31" a="1"/>
  <c r="W2001" i="31"/>
  <c r="P6" i="31" a="1"/>
  <c r="P6" i="31"/>
  <c r="V6" i="31" a="1"/>
  <c r="V6" i="31"/>
  <c r="X6" i="31" a="1"/>
  <c r="X6" i="31"/>
  <c r="O6" i="31" a="1"/>
  <c r="O6" i="31"/>
  <c r="U6" i="31" a="1"/>
  <c r="U6" i="31"/>
  <c r="W6" i="31" a="1"/>
  <c r="W6" i="31"/>
  <c r="P5" i="31" a="1"/>
  <c r="P5" i="31"/>
  <c r="V5" i="31" a="1"/>
  <c r="V5" i="31"/>
  <c r="O5" i="31" a="1"/>
  <c r="O5" i="31"/>
  <c r="U5" i="31" a="1"/>
  <c r="U5" i="31"/>
  <c r="K10" i="17" a="1"/>
  <c r="K10" i="17"/>
  <c r="Q10" i="17" a="1"/>
  <c r="Q10" i="17"/>
  <c r="G6" i="27"/>
  <c r="J10" i="17" a="1"/>
  <c r="J10" i="17"/>
  <c r="K24" i="17" a="1"/>
  <c r="K24" i="17"/>
  <c r="J24" i="17" a="1"/>
  <c r="J24" i="17"/>
  <c r="P24" i="17" a="1"/>
  <c r="P24" i="17"/>
  <c r="R24" i="17" a="1"/>
  <c r="R24" i="17"/>
  <c r="K23" i="17" a="1"/>
  <c r="K23" i="17"/>
  <c r="J23" i="17" a="1"/>
  <c r="J23" i="17"/>
  <c r="P23" i="17" a="1"/>
  <c r="P23" i="17"/>
  <c r="R23" i="17" a="1"/>
  <c r="R23" i="17"/>
  <c r="K22" i="17" a="1"/>
  <c r="K22" i="17"/>
  <c r="J22" i="17" a="1"/>
  <c r="J22" i="17"/>
  <c r="P22" i="17" a="1"/>
  <c r="P22" i="17"/>
  <c r="R22" i="17" a="1"/>
  <c r="R22" i="17"/>
  <c r="K21" i="17" a="1"/>
  <c r="K21" i="17"/>
  <c r="J21" i="17" a="1"/>
  <c r="J21" i="17"/>
  <c r="P21" i="17" a="1"/>
  <c r="P21" i="17"/>
  <c r="R21" i="17" a="1"/>
  <c r="R21" i="17"/>
  <c r="K20" i="17" a="1"/>
  <c r="K20" i="17"/>
  <c r="J20" i="17" a="1"/>
  <c r="J20" i="17"/>
  <c r="P20" i="17" a="1"/>
  <c r="P20" i="17"/>
  <c r="R20" i="17" a="1"/>
  <c r="R20" i="17"/>
  <c r="K19" i="17" a="1"/>
  <c r="K19" i="17"/>
  <c r="J19" i="17" a="1"/>
  <c r="J19" i="17"/>
  <c r="P19" i="17" a="1"/>
  <c r="P19" i="17"/>
  <c r="R19" i="17" a="1"/>
  <c r="R19" i="17"/>
  <c r="K18" i="17" a="1"/>
  <c r="K18" i="17"/>
  <c r="J18" i="17" a="1"/>
  <c r="J18" i="17"/>
  <c r="P18" i="17" a="1"/>
  <c r="P18" i="17"/>
  <c r="R18" i="17" a="1"/>
  <c r="R18" i="17"/>
  <c r="K17" i="17" a="1"/>
  <c r="K17" i="17"/>
  <c r="J17" i="17" a="1"/>
  <c r="J17" i="17"/>
  <c r="P17" i="17" a="1"/>
  <c r="P17" i="17"/>
  <c r="R17" i="17" a="1"/>
  <c r="R17" i="17"/>
  <c r="K16" i="17" a="1"/>
  <c r="K16" i="17"/>
  <c r="J16" i="17" a="1"/>
  <c r="J16" i="17"/>
  <c r="P16" i="17" a="1"/>
  <c r="P16" i="17"/>
  <c r="R16" i="17" a="1"/>
  <c r="R16" i="17"/>
  <c r="K15" i="17" a="1"/>
  <c r="K15" i="17"/>
  <c r="J15" i="17" a="1"/>
  <c r="J15" i="17"/>
  <c r="P15" i="17" a="1"/>
  <c r="P15" i="17"/>
  <c r="R15" i="17" a="1"/>
  <c r="R15" i="17"/>
  <c r="K14" i="17" a="1"/>
  <c r="K14" i="17"/>
  <c r="J14" i="17" a="1"/>
  <c r="J14" i="17"/>
  <c r="P14" i="17" a="1"/>
  <c r="P14" i="17"/>
  <c r="R14" i="17" a="1"/>
  <c r="R14" i="17"/>
  <c r="K13" i="17" a="1"/>
  <c r="K13" i="17"/>
  <c r="J13" i="17" a="1"/>
  <c r="J13" i="17"/>
  <c r="P13" i="17" a="1"/>
  <c r="P13" i="17"/>
  <c r="R13" i="17" a="1"/>
  <c r="R13" i="17"/>
  <c r="K12" i="17" a="1"/>
  <c r="K12" i="17"/>
  <c r="Q12" i="17" a="1"/>
  <c r="Q12" i="17"/>
  <c r="G8" i="27"/>
  <c r="J12" i="17" a="1"/>
  <c r="J12" i="17"/>
  <c r="P12" i="17" a="1"/>
  <c r="P12" i="17"/>
  <c r="K11" i="17" a="1"/>
  <c r="K11" i="17"/>
  <c r="J11" i="17" a="1"/>
  <c r="J11" i="17"/>
  <c r="P11" i="17" a="1"/>
  <c r="P11" i="17"/>
  <c r="K9" i="17" a="1"/>
  <c r="K9" i="17"/>
  <c r="Q9" i="17" a="1"/>
  <c r="Q9" i="17"/>
  <c r="G5" i="27"/>
  <c r="J9" i="17" a="1"/>
  <c r="J9" i="17"/>
  <c r="P4" i="31" a="1"/>
  <c r="P4" i="31"/>
  <c r="V4" i="31" a="1"/>
  <c r="V4" i="31"/>
  <c r="P3" i="31" a="1"/>
  <c r="P3" i="31"/>
  <c r="V3" i="31" a="1"/>
  <c r="V3" i="31"/>
  <c r="S3" i="38"/>
  <c r="O3" i="31" a="1"/>
  <c r="O3" i="31"/>
  <c r="F4" i="38"/>
  <c r="P2" i="31" a="1"/>
  <c r="P2" i="31"/>
  <c r="V2" i="31" a="1"/>
  <c r="V2" i="31"/>
  <c r="O4" i="31" a="1"/>
  <c r="O4" i="31"/>
  <c r="U4" i="31" a="1"/>
  <c r="U4" i="31"/>
  <c r="O2" i="31" a="1"/>
  <c r="O2" i="31"/>
  <c r="U2" i="31" a="1"/>
  <c r="U2" i="31"/>
  <c r="E4" i="38"/>
  <c r="J6" i="17" a="1"/>
  <c r="J6" i="17"/>
  <c r="P6" i="17" a="1"/>
  <c r="P6" i="17"/>
  <c r="K6" i="17" a="1"/>
  <c r="K6" i="17"/>
  <c r="Q6" i="17" a="1"/>
  <c r="Q6" i="17"/>
  <c r="G2" i="27"/>
  <c r="J7" i="17" a="1"/>
  <c r="J7" i="17"/>
  <c r="K7" i="17" a="1"/>
  <c r="K7" i="17"/>
  <c r="Q7" i="17" a="1"/>
  <c r="Q7" i="17"/>
  <c r="G3" i="27"/>
  <c r="J8" i="17" a="1"/>
  <c r="J8" i="17"/>
  <c r="K8" i="17" a="1"/>
  <c r="K8" i="17"/>
  <c r="Q8" i="17" a="1"/>
  <c r="Q8" i="17"/>
  <c r="S10" i="17" a="1"/>
  <c r="S10" i="17"/>
  <c r="I6" i="27"/>
  <c r="P10" i="17" a="1"/>
  <c r="P10" i="17"/>
  <c r="F6" i="27"/>
  <c r="P9" i="17" a="1"/>
  <c r="P9" i="17"/>
  <c r="S8" i="17" a="1"/>
  <c r="S8" i="17"/>
  <c r="I4" i="27"/>
  <c r="P7" i="17" a="1"/>
  <c r="P7" i="17"/>
  <c r="F34" i="6"/>
  <c r="G4" i="27"/>
  <c r="T33" i="27"/>
  <c r="T32" i="27"/>
  <c r="E2" i="38"/>
  <c r="R2" i="38"/>
  <c r="F18" i="36"/>
  <c r="S2" i="38"/>
  <c r="R4" i="38"/>
  <c r="S33" i="27"/>
  <c r="R5" i="38"/>
  <c r="S5" i="38"/>
  <c r="F17" i="36"/>
  <c r="S4" i="38"/>
  <c r="L4" i="38"/>
  <c r="M4" i="38"/>
  <c r="F16" i="36"/>
  <c r="M3" i="38"/>
  <c r="F22" i="36"/>
  <c r="F24" i="36"/>
  <c r="Q3" i="38"/>
  <c r="E23" i="36"/>
  <c r="C23" i="30"/>
  <c r="L5" i="38"/>
  <c r="T29" i="27"/>
  <c r="M5" i="38"/>
  <c r="W5" i="31" a="1"/>
  <c r="W5" i="31"/>
  <c r="E5" i="38"/>
  <c r="X5" i="31" a="1"/>
  <c r="X5" i="31"/>
  <c r="F5" i="38"/>
  <c r="Q2" i="38"/>
  <c r="U3" i="31" a="1"/>
  <c r="U3" i="31"/>
  <c r="Q11" i="17" a="1"/>
  <c r="Q11" i="17"/>
  <c r="Q13" i="17" a="1"/>
  <c r="Q13" i="17"/>
  <c r="S13" i="17" a="1"/>
  <c r="S13" i="17"/>
  <c r="Q14" i="17" a="1"/>
  <c r="Q14" i="17"/>
  <c r="S14" i="17" a="1"/>
  <c r="S14" i="17"/>
  <c r="Q15" i="17" a="1"/>
  <c r="Q15" i="17"/>
  <c r="S15" i="17" a="1"/>
  <c r="S15" i="17"/>
  <c r="Q16" i="17" a="1"/>
  <c r="Q16" i="17"/>
  <c r="S16" i="17" a="1"/>
  <c r="S16" i="17"/>
  <c r="Q17" i="17" a="1"/>
  <c r="Q17" i="17"/>
  <c r="S17" i="17" a="1"/>
  <c r="S17" i="17"/>
  <c r="Q18" i="17" a="1"/>
  <c r="Q18" i="17"/>
  <c r="S18" i="17" a="1"/>
  <c r="S18" i="17"/>
  <c r="Q19" i="17" a="1"/>
  <c r="Q19" i="17"/>
  <c r="S19" i="17" a="1"/>
  <c r="S19" i="17"/>
  <c r="Q20" i="17" a="1"/>
  <c r="Q20" i="17"/>
  <c r="S20" i="17" a="1"/>
  <c r="S20" i="17"/>
  <c r="Q21" i="17" a="1"/>
  <c r="Q21" i="17"/>
  <c r="S21" i="17" a="1"/>
  <c r="S21" i="17"/>
  <c r="Q22" i="17" a="1"/>
  <c r="Q22" i="17"/>
  <c r="S22" i="17" a="1"/>
  <c r="S22" i="17"/>
  <c r="Q23" i="17" a="1"/>
  <c r="Q23" i="17"/>
  <c r="S23" i="17" a="1"/>
  <c r="S23" i="17"/>
  <c r="Q24" i="17" a="1"/>
  <c r="Q24" i="17"/>
  <c r="S24" i="17" a="1"/>
  <c r="S24" i="17"/>
  <c r="X3" i="31" a="1"/>
  <c r="X3" i="31"/>
  <c r="U3" i="38"/>
  <c r="W4" i="31" a="1"/>
  <c r="W4" i="31"/>
  <c r="S26" i="27"/>
  <c r="E19" i="36"/>
  <c r="C19" i="30"/>
  <c r="X4" i="31" a="1"/>
  <c r="X4" i="31"/>
  <c r="T26" i="27"/>
  <c r="K6" i="27"/>
  <c r="N6" i="27"/>
  <c r="K4" i="27"/>
  <c r="N4" i="27"/>
  <c r="R12" i="17" a="1"/>
  <c r="R12" i="17"/>
  <c r="H8" i="27"/>
  <c r="R19" i="27"/>
  <c r="C17" i="25"/>
  <c r="F8" i="27"/>
  <c r="S12" i="17" a="1"/>
  <c r="S12" i="17"/>
  <c r="I8" i="27"/>
  <c r="S19" i="27"/>
  <c r="R11" i="17" a="1"/>
  <c r="R11" i="17"/>
  <c r="H7" i="27"/>
  <c r="F7" i="27"/>
  <c r="S9" i="17" a="1"/>
  <c r="S9" i="17"/>
  <c r="C28" i="35"/>
  <c r="E28" i="35"/>
  <c r="S16" i="27"/>
  <c r="R7" i="17" a="1"/>
  <c r="R7" i="17"/>
  <c r="H3" i="27"/>
  <c r="R15" i="27"/>
  <c r="C18" i="25"/>
  <c r="S6" i="17" a="1"/>
  <c r="S6" i="17"/>
  <c r="I2" i="27"/>
  <c r="S14" i="27"/>
  <c r="R6" i="17" a="1"/>
  <c r="R6" i="17"/>
  <c r="E3" i="38"/>
  <c r="F3" i="38"/>
  <c r="R9" i="17" a="1"/>
  <c r="R9" i="17"/>
  <c r="H5" i="27"/>
  <c r="R10" i="17" a="1"/>
  <c r="R10" i="17"/>
  <c r="R17" i="27"/>
  <c r="S18" i="27"/>
  <c r="D6" i="21"/>
  <c r="F5" i="27"/>
  <c r="R18" i="27"/>
  <c r="C15" i="35"/>
  <c r="C20" i="36"/>
  <c r="M20" i="30"/>
  <c r="C16" i="25"/>
  <c r="P8" i="17" a="1"/>
  <c r="P8" i="17"/>
  <c r="R16" i="27"/>
  <c r="C14" i="25"/>
  <c r="S17" i="27"/>
  <c r="S13" i="27"/>
  <c r="Q4" i="17"/>
  <c r="F2" i="27"/>
  <c r="R12" i="27"/>
  <c r="F3" i="27"/>
  <c r="P4" i="17"/>
  <c r="W3" i="38"/>
  <c r="C33" i="36"/>
  <c r="E33" i="36"/>
  <c r="R3" i="38"/>
  <c r="S32" i="27"/>
  <c r="E16" i="36"/>
  <c r="S22" i="27"/>
  <c r="I5" i="27"/>
  <c r="X17" i="27"/>
  <c r="G14" i="25"/>
  <c r="H14" i="25"/>
  <c r="I14" i="25"/>
  <c r="J14" i="25"/>
  <c r="R14" i="27"/>
  <c r="C13" i="25"/>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c r="U5" i="38"/>
  <c r="W5" i="38"/>
  <c r="T5" i="38"/>
  <c r="V5" i="38"/>
  <c r="W4" i="38"/>
  <c r="O4" i="38"/>
  <c r="N4" i="38"/>
  <c r="P4" i="38"/>
  <c r="H5" i="38"/>
  <c r="O5" i="38"/>
  <c r="G5" i="38"/>
  <c r="N5" i="38"/>
  <c r="X26" i="27"/>
  <c r="H4" i="38"/>
  <c r="K4" i="38"/>
  <c r="W26" i="27"/>
  <c r="Y26" i="27"/>
  <c r="G4" i="38"/>
  <c r="J4" i="38"/>
  <c r="X27" i="27"/>
  <c r="H3" i="38"/>
  <c r="C46" i="36"/>
  <c r="E46" i="36"/>
  <c r="S29" i="27"/>
  <c r="E22" i="36"/>
  <c r="C22" i="30"/>
  <c r="X29" i="27"/>
  <c r="N23" i="36"/>
  <c r="W3" i="31" a="1"/>
  <c r="W3" i="31"/>
  <c r="T3" i="38"/>
  <c r="V3" i="38"/>
  <c r="L3" i="38"/>
  <c r="N19" i="36"/>
  <c r="N22" i="36"/>
  <c r="W29" i="27"/>
  <c r="Y29" i="27"/>
  <c r="Q5" i="38"/>
  <c r="C31" i="30"/>
  <c r="E31" i="30"/>
  <c r="P5" i="38"/>
  <c r="K5" i="38"/>
  <c r="J5" i="38"/>
  <c r="W18" i="27"/>
  <c r="H6" i="27"/>
  <c r="S11" i="17" a="1"/>
  <c r="S11" i="17"/>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c r="R13" i="27"/>
  <c r="C12" i="25"/>
  <c r="D13" i="25"/>
  <c r="S7" i="17" a="1"/>
  <c r="S7" i="17"/>
  <c r="X12" i="27"/>
  <c r="S15" i="27"/>
  <c r="D18" i="25"/>
  <c r="C13" i="35"/>
  <c r="C18" i="36"/>
  <c r="M18" i="30"/>
  <c r="K3" i="38"/>
  <c r="R8" i="17" a="1"/>
  <c r="R8" i="17"/>
  <c r="H6" i="21" a="1"/>
  <c r="H6" i="21"/>
  <c r="D34" i="21"/>
  <c r="E6" i="21"/>
  <c r="C15" i="25"/>
  <c r="J5" i="27"/>
  <c r="M5" i="27"/>
  <c r="D16" i="25"/>
  <c r="S12" i="27"/>
  <c r="Z12" i="27"/>
  <c r="C12" i="35"/>
  <c r="C17" i="36"/>
  <c r="M17" i="30"/>
  <c r="D12" i="25"/>
  <c r="J3" i="27"/>
  <c r="M3" i="27"/>
  <c r="C11" i="25"/>
  <c r="H4" i="6"/>
  <c r="H5" i="6"/>
  <c r="W16" i="27"/>
  <c r="W12" i="27"/>
  <c r="P3" i="38"/>
  <c r="C32" i="30"/>
  <c r="E32" i="30"/>
  <c r="F14" i="25"/>
  <c r="E14" i="25"/>
  <c r="I3" i="27"/>
  <c r="X14" i="27"/>
  <c r="Z14" i="27"/>
  <c r="H4" i="27"/>
  <c r="C28" i="25"/>
  <c r="E28" i="25"/>
  <c r="F22" i="30"/>
  <c r="G22" i="30"/>
  <c r="H22" i="30"/>
  <c r="I22" i="30"/>
  <c r="J22" i="30"/>
  <c r="E22" i="30"/>
  <c r="J22" i="36"/>
  <c r="K22" i="36"/>
  <c r="L22" i="36"/>
  <c r="M22" i="36"/>
  <c r="I22" i="36"/>
  <c r="Q4" i="38"/>
  <c r="W27" i="27"/>
  <c r="G3" i="38"/>
  <c r="J3" i="38"/>
  <c r="J6" i="27"/>
  <c r="M6" i="27"/>
  <c r="I7" i="27"/>
  <c r="X18" i="27"/>
  <c r="Z18" i="27"/>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c r="C20" i="35"/>
  <c r="K3" i="27"/>
  <c r="N3" i="27"/>
  <c r="D17" i="35"/>
  <c r="W13" i="27"/>
  <c r="C20" i="25"/>
  <c r="J4" i="27"/>
  <c r="M4" i="27"/>
  <c r="Q40" i="25"/>
  <c r="D13" i="35"/>
  <c r="C18" i="35"/>
  <c r="C23" i="36"/>
  <c r="Z15" i="27"/>
  <c r="M23" i="30"/>
  <c r="Q54" i="25"/>
  <c r="D15" i="25"/>
  <c r="M16" i="30"/>
  <c r="M24" i="30"/>
  <c r="C11" i="35"/>
  <c r="C16" i="36"/>
  <c r="C24" i="36"/>
  <c r="D12" i="35"/>
  <c r="E12" i="35"/>
  <c r="C19" i="35"/>
  <c r="C21" i="35" a="1"/>
  <c r="C21" i="35"/>
  <c r="D19" i="25"/>
  <c r="C19" i="25"/>
  <c r="C21" i="25" a="1"/>
  <c r="C21" i="25"/>
  <c r="E2" i="26" a="1"/>
  <c r="E2" i="26"/>
  <c r="Q43" i="25"/>
  <c r="P40" i="25"/>
  <c r="P43" i="25"/>
  <c r="P44" i="25"/>
  <c r="Q44" i="25"/>
  <c r="Q47" i="25"/>
  <c r="H39" i="6"/>
  <c r="K7" i="27"/>
  <c r="N7" i="27"/>
  <c r="G11" i="35"/>
  <c r="H11" i="35"/>
  <c r="I11" i="35"/>
  <c r="J11" i="35"/>
  <c r="F11" i="35"/>
  <c r="G18" i="35"/>
  <c r="H18" i="35"/>
  <c r="I18" i="35"/>
  <c r="J18" i="35"/>
  <c r="F18" i="35"/>
  <c r="E20" i="25"/>
  <c r="F20" i="25"/>
  <c r="G20" i="25"/>
  <c r="H20" i="25"/>
  <c r="I20" i="25"/>
  <c r="J20" i="25"/>
  <c r="E21" i="25"/>
  <c r="F21" i="25"/>
  <c r="G21" i="25"/>
  <c r="H21" i="25"/>
  <c r="I21" i="25"/>
  <c r="J21" i="25"/>
  <c r="F20" i="35"/>
  <c r="G20" i="35"/>
  <c r="H20" i="35"/>
  <c r="I20" i="35"/>
  <c r="J20" i="35"/>
  <c r="J19" i="35"/>
  <c r="J21" i="35"/>
  <c r="I19" i="35"/>
  <c r="I21" i="35"/>
  <c r="H19" i="35"/>
  <c r="H21" i="35"/>
  <c r="G19" i="35"/>
  <c r="G21" i="35"/>
  <c r="F19" i="35"/>
  <c r="C40" i="35"/>
  <c r="D11" i="35"/>
  <c r="D18" i="35"/>
  <c r="E18" i="35"/>
  <c r="D23" i="36"/>
  <c r="N23" i="30"/>
  <c r="C41" i="35"/>
  <c r="D40" i="35"/>
  <c r="D17" i="36"/>
  <c r="N17" i="30"/>
  <c r="P45" i="25"/>
  <c r="F21" i="35"/>
  <c r="D41" i="35"/>
  <c r="D14" i="35"/>
  <c r="D2" i="37"/>
  <c r="P46" i="25"/>
  <c r="P47" i="25"/>
  <c r="Q45" i="25"/>
  <c r="D45" i="35"/>
  <c r="C45" i="35"/>
  <c r="D42" i="35"/>
  <c r="C42" i="35"/>
  <c r="D43" i="35" a="1"/>
  <c r="D43" i="35"/>
  <c r="Q46" i="25"/>
  <c r="Q48" i="25"/>
  <c r="P48" i="25"/>
  <c r="P50" i="25"/>
  <c r="P54" i="25"/>
  <c r="P53" i="25"/>
  <c r="C43" i="35"/>
  <c r="D44" i="35"/>
  <c r="C44" i="35"/>
  <c r="P55" i="25"/>
  <c r="P57" i="25" a="1"/>
  <c r="P57" i="25"/>
  <c r="Q57" i="25" a="1"/>
  <c r="Q57" i="25"/>
  <c r="Y15" i="27"/>
  <c r="Y16" i="27"/>
  <c r="Y19" i="27"/>
  <c r="Y14" i="27"/>
  <c r="Y13" i="27"/>
  <c r="C27" i="25"/>
  <c r="E27" i="25"/>
  <c r="R4" i="17"/>
  <c r="C27" i="35"/>
  <c r="E27" i="35"/>
  <c r="Y18" i="27"/>
  <c r="C26" i="25"/>
  <c r="E26" i="25"/>
  <c r="S4" i="17"/>
  <c r="Y17" i="27"/>
  <c r="C26" i="35"/>
  <c r="E26" i="35"/>
  <c r="D20" i="25"/>
  <c r="C40" i="25"/>
  <c r="C41" i="25"/>
  <c r="D40" i="25"/>
  <c r="E37" i="6"/>
  <c r="D37" i="21"/>
  <c r="D21" i="25"/>
  <c r="E36" i="6"/>
  <c r="B36" i="6"/>
  <c r="D36" i="21"/>
  <c r="B36" i="21"/>
  <c r="M25" i="30"/>
  <c r="M26" i="30"/>
  <c r="C25" i="36"/>
  <c r="C26" i="36"/>
  <c r="Y12" i="27"/>
  <c r="D41" i="25"/>
  <c r="D42" i="25"/>
  <c r="C42" i="25"/>
  <c r="D45" i="25"/>
  <c r="C45" i="25"/>
  <c r="D43" i="25" a="1"/>
  <c r="D43" i="25"/>
  <c r="C43" i="25"/>
  <c r="C44" i="25"/>
  <c r="D44" i="25"/>
  <c r="D35" i="21"/>
  <c r="B35" i="21"/>
  <c r="E35" i="6"/>
  <c r="B35" i="6"/>
  <c r="E17" i="35"/>
  <c r="E11" i="35"/>
  <c r="E14" i="35"/>
  <c r="E13" i="35"/>
  <c r="D16" i="36"/>
  <c r="N16" i="30"/>
  <c r="D19" i="36"/>
  <c r="N19" i="30"/>
  <c r="D22" i="36"/>
  <c r="N22" i="30"/>
  <c r="D18" i="36"/>
  <c r="N18" i="30"/>
  <c r="T24" i="27"/>
  <c r="C16" i="30"/>
  <c r="F2" i="38"/>
  <c r="T22" i="27"/>
  <c r="F16" i="30"/>
  <c r="G16" i="30"/>
  <c r="H16" i="30"/>
  <c r="I16" i="30"/>
  <c r="J16" i="30"/>
  <c r="E16" i="30"/>
  <c r="N16" i="36"/>
  <c r="W2" i="31" a="1"/>
  <c r="W2" i="31"/>
  <c r="S24" i="27"/>
  <c r="E18" i="36"/>
  <c r="C18" i="30"/>
  <c r="T23" i="27"/>
  <c r="X2" i="31" a="1"/>
  <c r="X2" i="31"/>
  <c r="S23" i="27"/>
  <c r="E17" i="36"/>
  <c r="C17" i="30"/>
  <c r="S27" i="27"/>
  <c r="Y27" i="27"/>
  <c r="E20" i="36"/>
  <c r="C20" i="30"/>
  <c r="T28" i="27"/>
  <c r="T27" i="27"/>
  <c r="S28" i="27"/>
  <c r="Y28" i="27"/>
  <c r="E21" i="36"/>
  <c r="C21" i="30"/>
  <c r="Z25" i="27"/>
  <c r="Z26" i="27"/>
  <c r="Z27" i="27"/>
  <c r="Z28" i="27"/>
  <c r="Z29" i="27"/>
  <c r="C25" i="30"/>
  <c r="F25" i="30"/>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c r="X23" i="27"/>
  <c r="Z23" i="27"/>
  <c r="W33" i="27"/>
  <c r="Y33" i="27"/>
  <c r="W23" i="27"/>
  <c r="X32" i="27"/>
  <c r="X22" i="27"/>
  <c r="Z22" i="27"/>
  <c r="W32" i="27"/>
  <c r="W22" i="27"/>
  <c r="J21" i="36"/>
  <c r="K21" i="36"/>
  <c r="L21" i="36"/>
  <c r="M21" i="36"/>
  <c r="I21" i="36"/>
  <c r="J20" i="36"/>
  <c r="K20" i="36"/>
  <c r="L20" i="36"/>
  <c r="M20" i="36"/>
  <c r="I20" i="36"/>
  <c r="H2" i="38"/>
  <c r="U2" i="38"/>
  <c r="J18" i="36"/>
  <c r="K18" i="36"/>
  <c r="L18" i="36"/>
  <c r="M18" i="36"/>
  <c r="I18" i="36"/>
  <c r="G2" i="38"/>
  <c r="J2" i="38"/>
  <c r="T2" i="38"/>
  <c r="V2" i="38"/>
  <c r="I17" i="36"/>
  <c r="J17" i="36"/>
  <c r="K17" i="36"/>
  <c r="L17" i="36"/>
  <c r="M17" i="36"/>
  <c r="Y23" i="27"/>
  <c r="C45" i="36"/>
  <c r="K2" i="38"/>
  <c r="X24" i="27"/>
  <c r="F25" i="36"/>
  <c r="F26" i="36"/>
  <c r="W24" i="27"/>
  <c r="E25" i="36"/>
  <c r="E24" i="36"/>
  <c r="E26" i="36"/>
  <c r="N21" i="36"/>
  <c r="N20" i="36"/>
  <c r="N17" i="36"/>
  <c r="N25" i="36"/>
  <c r="N18" i="36"/>
  <c r="C24" i="30"/>
  <c r="C26" i="30"/>
  <c r="Y24" i="27"/>
  <c r="D25" i="30"/>
  <c r="Y22" i="27"/>
  <c r="D16" i="30"/>
  <c r="D3" i="37"/>
  <c r="D4" i="37"/>
  <c r="D23" i="30"/>
  <c r="D22" i="30"/>
  <c r="D21" i="30"/>
  <c r="D20" i="30"/>
  <c r="D19" i="30"/>
  <c r="D18" i="30"/>
  <c r="D17" i="30"/>
  <c r="Y32" i="27"/>
  <c r="G25" i="36"/>
  <c r="H17" i="36"/>
  <c r="H18" i="36"/>
  <c r="H19" i="36"/>
  <c r="H20" i="36"/>
  <c r="H21" i="36"/>
  <c r="H22" i="36"/>
  <c r="H23" i="36"/>
  <c r="H16" i="36"/>
  <c r="H24" i="36"/>
  <c r="G17" i="36"/>
  <c r="G18" i="36"/>
  <c r="G19" i="36"/>
  <c r="G20" i="36"/>
  <c r="G21" i="36"/>
  <c r="G22" i="36"/>
  <c r="G23" i="36"/>
  <c r="G16" i="36"/>
  <c r="H25" i="36"/>
  <c r="Z32" i="27"/>
  <c r="W2" i="38"/>
  <c r="C32" i="36"/>
  <c r="I25" i="36"/>
  <c r="J25" i="36"/>
  <c r="K25" i="36"/>
  <c r="L25" i="36"/>
  <c r="M25" i="36"/>
  <c r="C54" i="36"/>
  <c r="E45" i="36"/>
  <c r="Z24" i="27"/>
  <c r="I24" i="36"/>
  <c r="J24" i="36"/>
  <c r="J26" i="36"/>
  <c r="K24" i="36"/>
  <c r="K26" i="36"/>
  <c r="L24" i="36"/>
  <c r="L26" i="36"/>
  <c r="M24" i="36"/>
  <c r="M26" i="36"/>
  <c r="N24" i="36"/>
  <c r="N26" i="36"/>
  <c r="I26" i="36"/>
  <c r="G24" i="36"/>
  <c r="G26" i="36"/>
  <c r="F24" i="30"/>
  <c r="G24" i="30"/>
  <c r="H24" i="30"/>
  <c r="I24" i="30"/>
  <c r="J24" i="30"/>
  <c r="E24" i="30"/>
  <c r="D24" i="30"/>
  <c r="D26" i="30"/>
  <c r="H26" i="36"/>
  <c r="E32" i="36"/>
  <c r="C41" i="36"/>
  <c r="E26" i="30"/>
  <c r="J26" i="30"/>
  <c r="I26" i="30"/>
  <c r="H26" i="30"/>
  <c r="G26" i="30"/>
  <c r="F26" i="30"/>
  <c r="E54" i="36"/>
  <c r="E41" i="36"/>
  <c r="E40" i="30"/>
  <c r="E35" i="25"/>
  <c r="E35" i="35"/>
  <c r="C50" i="35"/>
  <c r="C48" i="35"/>
  <c r="Q55" i="25"/>
  <c r="C50" i="25"/>
  <c r="C48" i="25"/>
  <c r="C49" i="25"/>
  <c r="C52" i="25" a="1"/>
  <c r="C52" i="25"/>
  <c r="D50" i="25"/>
  <c r="C49" i="35"/>
  <c r="C2" i="37"/>
  <c r="D16" i="35"/>
  <c r="E16" i="35"/>
  <c r="D15" i="35"/>
  <c r="C52" i="35" a="1"/>
  <c r="C52" i="35"/>
  <c r="D50" i="35"/>
  <c r="E36" i="35"/>
  <c r="D37" i="35"/>
  <c r="D52" i="35" a="1"/>
  <c r="D52" i="35"/>
  <c r="F36" i="35" a="1"/>
  <c r="F36" i="35"/>
  <c r="D19" i="35"/>
  <c r="E15" i="35"/>
  <c r="N21" i="30"/>
  <c r="D21" i="36"/>
  <c r="C3" i="37"/>
  <c r="C4" i="37"/>
  <c r="D52" i="25" a="1"/>
  <c r="D52" i="25"/>
  <c r="F36" i="25" a="1"/>
  <c r="F36" i="25"/>
  <c r="E36" i="25"/>
  <c r="G41" i="21"/>
  <c r="F37" i="25"/>
  <c r="H40" i="6"/>
  <c r="D37" i="25"/>
  <c r="D20" i="36"/>
  <c r="D24" i="36"/>
  <c r="N20" i="30"/>
  <c r="N24" i="30"/>
  <c r="E19" i="35"/>
  <c r="D20" i="35"/>
  <c r="D21" i="35"/>
  <c r="E20" i="35"/>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c r="F6" i="21"/>
  <c r="F41" i="21"/>
  <c r="N25" i="30"/>
  <c r="N26" i="30"/>
  <c r="D25" i="36"/>
  <c r="D26" i="3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<sst xmlns="http://schemas.openxmlformats.org/spreadsheetml/2006/main" count="1096" uniqueCount="435">
  <si>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</si>
  <si>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</si>
  <si>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</si>
  <si>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</si>
  <si>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</si>
  <si>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</si>
  <si>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</si>
  <si>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</si>
  <si>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</si>
  <si>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</si>
  <si>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</si>
  <si>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</si>
  <si>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</si>
  <si>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</si>
  <si>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</si>
  <si>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</si>
  <si>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</si>
  <si>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</si>
  <si>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</si>
  <si>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</si>
  <si>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</si>
  <si>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</si>
  <si>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</si>
  <si>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</si>
  <si>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</si>
  <si>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</si>
  <si>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</si>
  <si>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</si>
  <si>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</si>
  <si>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</si>
  <si>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</si>
  <si>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</si>
  <si>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</si>
  <si>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</si>
  <si>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</si>
  <si>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</si>
  <si>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</si>
  <si>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</si>
  <si>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</si>
  <si>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</si>
  <si>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</si>
  <si>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</si>
  <si>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</si>
  <si>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</si>
  <si>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</si>
  <si>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</si>
  <si>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</si>
  <si>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</si>
  <si>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</si>
  <si>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</si>
  <si>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</si>
  <si>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</si>
  <si>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</si>
  <si>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</si>
  <si>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</si>
  <si>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</si>
  <si>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</si>
  <si>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</si>
  <si>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</si>
  <si>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</si>
  <si>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</si>
  <si>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</si>
  <si>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</si>
  <si>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</si>
  <si>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</si>
  <si>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</si>
  <si>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</si>
  <si>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</si>
  <si>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</si>
  <si>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</si>
  <si>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</si>
  <si>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</si>
  <si>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</si>
  <si>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</si>
  <si>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</si>
  <si>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</si>
  <si>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</si>
  <si>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</si>
  <si>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</si>
  <si>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</si>
  <si>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</si>
  <si>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</si>
  <si>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</si>
  <si>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</si>
  <si>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</si>
  <si>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</si>
  <si>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</si>
  <si>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</si>
  <si>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</si>
  <si>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</si>
  <si>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</si>
  <si>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</si>
  <si>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</si>
  <si>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</si>
  <si>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</si>
  <si>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</si>
  <si>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</si>
  <si>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</si>
  <si>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</si>
  <si>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</si>
  <si>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</si>
  <si>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</si>
  <si>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</si>
  <si>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</si>
  <si>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</si>
  <si>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</si>
  <si>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</si>
  <si>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</si>
  <si>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</si>
  <si>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</si>
  <si>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</si>
  <si>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</si>
  <si>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</si>
  <si>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</si>
  <si>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</si>
  <si>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</si>
  <si>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</si>
  <si>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</si>
  <si>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</si>
  <si>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</si>
  <si>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</si>
  <si>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</si>
  <si>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</si>
  <si>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</si>
  <si>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</si>
  <si>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</si>
  <si>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</si>
  <si>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</si>
  <si>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</si>
  <si>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</si>
  <si>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</si>
  <si>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</si>
  <si>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</si>
  <si>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</si>
  <si>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</si>
  <si>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</si>
  <si>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</si>
  <si>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</si>
  <si>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</si>
  <si>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</si>
  <si>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</si>
  <si>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</si>
  <si>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</si>
  <si>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</si>
  <si>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</si>
  <si>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</si>
  <si>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</si>
  <si>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</si>
  <si>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</si>
  <si>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</si>
  <si>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</si>
  <si>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</si>
  <si>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</si>
  <si>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</si>
  <si>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</si>
  <si>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</si>
  <si>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</si>
  <si>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</si>
  <si>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</si>
  <si>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</si>
  <si>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</si>
  <si>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</si>
  <si>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</si>
  <si>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</si>
  <si>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</si>
  <si>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</si>
  <si>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</si>
  <si>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</si>
  <si>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</si>
  <si>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</si>
  <si>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</si>
  <si>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</si>
  <si>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</si>
  <si>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</si>
  <si>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</si>
  <si>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</si>
  <si>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</si>
  <si>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</si>
  <si>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</si>
  <si>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</si>
  <si>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</si>
  <si>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</si>
  <si>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</si>
  <si>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</si>
  <si>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</si>
  <si>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</si>
  <si>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</si>
  <si>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</si>
  <si>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</si>
  <si>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</si>
  <si>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</si>
  <si>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</si>
  <si>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</si>
  <si>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</si>
  <si>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</si>
  <si>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</si>
  <si>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</si>
  <si>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</si>
  <si>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</si>
  <si>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</si>
  <si>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</si>
  <si>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</si>
  <si>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</si>
  <si>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</si>
  <si>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</si>
  <si>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</si>
  <si>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</si>
  <si>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</si>
  <si>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</si>
  <si>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</si>
  <si>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</si>
  <si>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</si>
  <si>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</si>
  <si>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</si>
  <si>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</si>
  <si>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</si>
  <si>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</si>
  <si>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</si>
  <si>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</si>
  <si>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</si>
  <si>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</si>
  <si>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</si>
  <si>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</si>
  <si>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</si>
  <si>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</si>
  <si>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</si>
  <si>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</si>
  <si>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</si>
  <si>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</si>
  <si>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</si>
  <si>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</si>
  <si>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</si>
  <si>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</si>
  <si>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</si>
  <si>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</si>
  <si>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</si>
  <si>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</si>
  <si>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</si>
  <si>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</si>
  <si>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</si>
  <si>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</si>
  <si>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</si>
  <si>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</si>
  <si>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</si>
  <si>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 xml:space="preserve">2. Selecteer de deelprestatie waar de kosten onderdeel van uit maken. Dit is alleen verplicht bij subsidieaanvragen onder de € 125.000. </t>
  </si>
  <si>
    <t xml:space="preserve">4. Kies het kostentype en vul de cellen die beschikbaar komen.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</si>
  <si>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</si>
  <si>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</si>
  <si>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</si>
  <si>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</si>
  <si>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</si>
  <si>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</si>
  <si>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</si>
  <si>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</si>
  <si>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</si>
  <si>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</si>
  <si>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</si>
  <si>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</si>
  <si>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</si>
  <si>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</si>
  <si>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</si>
  <si>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</si>
  <si>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</si>
  <si>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</si>
  <si>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</si>
  <si>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</si>
  <si>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</si>
  <si>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</si>
  <si>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</si>
  <si>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</si>
  <si>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</si>
  <si>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</si>
  <si>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</si>
  <si>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</si>
  <si>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</si>
  <si>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</si>
  <si>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</si>
  <si>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</si>
  <si>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</si>
  <si>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</si>
  <si>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</si>
  <si>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</si>
  <si>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</si>
  <si>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</si>
  <si>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</si>
  <si>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</si>
  <si>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</si>
  <si>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</si>
  <si>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 xml:space="preserve">Krijgt u € 125.000 of meer subsidie? Dan gebruikt u tabblad 7, 8 en 9 van dit format om uw betaalverzoek (deelbetaling of vaststelling) in te leveren.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</si>
  <si>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</si>
  <si>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</si>
  <si>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</si>
  <si>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t xml:space="preserve">Vul dit tabblad in op basis van projectdeelnemer en subsidiabele activiteit. De subsidiabele activiteiten vindt u in het openstellingsbesluit of de regeling. </t>
  </si>
  <si>
    <t xml:space="preserve">Heeft u grondkosten of bijdrage in natura begroot? Dan kan een aftopping invloed hebben op het maximale subsidiebedrag. </t>
  </si>
  <si>
    <t>Toelichting tabbladen betaalverzoek (voor subsidies vanaf € 125.000):</t>
  </si>
  <si>
    <t xml:space="preserve">Krijgt u € 125.000 of meer subsidie? Dan vult u tabblad 7, 8 en 9 in van dit format om uw betaalverzoek (deelbetaling of vaststelling) in te leveren. </t>
  </si>
  <si>
    <t>In kolom C vult u de naam van de medewerker in en de periode of het jaar waarvoor het uurtarief geldt.</t>
  </si>
  <si>
    <t xml:space="preserve">Kiest u voor 'Arbeidskosten op basis van IKS'? Dan hoeft u kolom G niet in te vullen. </t>
  </si>
  <si>
    <t xml:space="preserve">Uw keuze is gelijk aan wat u bij kolom C in tabblad 7 heeft ingevuld. </t>
  </si>
  <si>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</si>
  <si>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</si>
  <si>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</si>
  <si>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</si>
  <si>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</si>
  <si>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Bij een tweede betaalverzoek kiest u hier '2', enz. Bij een volgend betaalverzoek vult u kolom A aan en vult u de nodige gegevens aan. </t>
  </si>
  <si>
    <t xml:space="preserve">Vult u in tabblad 9 de ontvangstdatum van uw subsidieaanvraag in? En de einddatum van uw project? Dan worden de factuurdata gecontroleerd. </t>
  </si>
  <si>
    <t xml:space="preserve">Op basis van de kleuren kunt u bepalen of u de kosten wel of niet declareert. U kunt ook een toelichting toevoegen aan de declaratieregel. Hier kunt u uitleggen waarom de kosten subsidiabel zijn. </t>
  </si>
  <si>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</si>
  <si>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</si>
  <si>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</si>
  <si>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</si>
  <si>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</si>
  <si>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</si>
  <si>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</si>
  <si>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</si>
  <si>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</si>
  <si>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</si>
  <si>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</si>
  <si>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</si>
  <si>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</si>
  <si>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</si>
  <si>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</si>
  <si>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</si>
  <si>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</si>
  <si>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</si>
  <si>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</si>
  <si>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t xml:space="preserve">Deze nummers worden automatisch ingevuld wanneer u in kolom A het betaalverzoeknummer invult. Dit betekent dat elke declaratieregel een eigen volgnummer heeft. </t>
  </si>
  <si>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</si>
  <si>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</si>
  <si>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</si>
  <si>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</si>
  <si>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</si>
  <si>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</si>
  <si>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</si>
  <si>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</si>
  <si>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</si>
  <si>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</si>
  <si>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</si>
  <si>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</si>
  <si>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</si>
  <si>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</si>
  <si>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</si>
  <si>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</si>
  <si>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Geldt binnen uw openstelling een andere termijn (bijvoorbeeld 6 maanden)? Dan houdt dit format hier geen rekening mee. </t>
  </si>
  <si>
    <t>Kolom L - Betaaldatum</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</si>
  <si>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</si>
  <si>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</si>
  <si>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</si>
  <si>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</si>
  <si>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</si>
  <si>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</si>
  <si>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</si>
  <si>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</si>
  <si>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</si>
  <si>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</si>
  <si>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</si>
  <si>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</si>
  <si>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</si>
  <si>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</si>
  <si>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</si>
  <si>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</si>
  <si>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</si>
  <si>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</si>
  <si>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</si>
  <si>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</si>
  <si>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</si>
  <si>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</si>
  <si>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</si>
  <si>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</si>
  <si>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</si>
  <si>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</si>
  <si>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</si>
  <si>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Format begroting en betaalverzoeken</t>
  </si>
  <si>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</si>
  <si>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</si>
  <si>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</si>
  <si>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 xml:space="preserve">1. Vul alle projectdeelnemers (aanvragers) in, inclusief het KVK- en btw-nummer. Hiermee worden de deelnemers van het samenwerkingsverband bedoeld. </t>
  </si>
  <si>
    <t>Onderaan dit tabblad ziet u het subsidiebedrag op basis van de opgegeven kosten. Op basis van de regeling kan er een maximum subsidiebedrag zijn.</t>
  </si>
  <si>
    <t xml:space="preserve">Kies het betaalverzoeknummer dat u wilt bekijken. Ga naar regel 10 'Betalingverzoeknummer'. En klik in kolom E het juiste nummer aan in het drop-down-menu. </t>
  </si>
  <si>
    <t xml:space="preserve">Ook vult u het aanvraagnummer en de einddatum van het project in. U vindt deze informatie in de beslisbrief op uw subsidieaanvraag (verleningsbeschikking). </t>
  </si>
  <si>
    <t xml:space="preserve">Let op dat u btw apart ingevoert. U kiest dan 'Niet verrekenbare btw' onder kolom F 'Kostentype'. Wel mag u de btw van meerdere facturen bij elkaar optellen. </t>
  </si>
  <si>
    <t xml:space="preserve">Vul hier de factuurdatum in zoals op de factuur vermeld staat. Vul in als: dag-maand-jaar, bijvoorbeeld 01-06-2024. </t>
  </si>
  <si>
    <t xml:space="preserve">Vul hier de datum in waarop de factuur betaald is. Deze staat op het bijbehorende betaalbewijs (rekeningsafschrift). Vul in als: dag-maand-jaar, bijvoorbeeld 01-06-2024. </t>
  </si>
  <si>
    <t>Niet-productieve investeringen, overige</t>
  </si>
  <si>
    <t>Niet-productieve investeringen gericht op waterkwantiteit</t>
  </si>
  <si>
    <t>Provincie Overijssel - NPI Niet-Landbouwbedrijven 2025</t>
  </si>
  <si>
    <t>Provincie Utrecht - NPI Niet-Landbouwbedrijven 2025</t>
  </si>
  <si>
    <t>Provincie Zeeland - NPI Niet-Landbouwbedrijven 2025</t>
  </si>
  <si>
    <t>Provincie Zeeland - NPI Niet-Landbouwbedrijven 2025 Overhevelingsmiddelen</t>
  </si>
  <si>
    <t>Provincie Zuid-Holland Hollandse Delta - NPI Niet-Landbouwbedrijven 2025</t>
  </si>
  <si>
    <t>Provincie Zuid-Holland Rivierenland - NPI Niet-Landbouwbedrijven 2025</t>
  </si>
  <si>
    <t>Provincie Flevoland - NPI Niet-Landbouwbedrijven 2025 Natura2000</t>
  </si>
  <si>
    <t xml:space="preserve">Provincie Flevoland - NPI Niet-Landbouwbedrijven 2025 Natuurnetwerk Nederland (NNN) </t>
  </si>
  <si>
    <t>Uitvoeringskosten (samenwerkingsproject)</t>
  </si>
  <si>
    <t xml:space="preserve">U vindt onderaan dit tabblad bij elke kolom een uitgebreide toelichting. </t>
  </si>
  <si>
    <t>Niet-productieve investeringen op niet-landbouwbedrijven 2025</t>
  </si>
  <si>
    <t xml:space="preserve">Gebruik hiervoor de tabbladen 1 tot en met 6. </t>
  </si>
  <si>
    <r>
      <t xml:space="preserve">1. Kies de </t>
    </r>
    <r>
      <rPr>
        <u/>
        <sz val="11"/>
        <rFont val="Calibri"/>
        <family val="2"/>
        <scheme val="minor"/>
      </rPr>
      <t>openstelling</t>
    </r>
    <r>
      <rPr>
        <sz val="11"/>
        <rFont val="Calibri"/>
        <family val="2"/>
        <scheme val="minor"/>
      </rPr>
      <t xml:space="preserve"> waar u een subsidieaanvraag voor wilt indienen.</t>
    </r>
  </si>
  <si>
    <r>
      <t xml:space="preserve">3. Kies de methode voor het berekenen van de subsidiabele kosten: </t>
    </r>
    <r>
      <rPr>
        <u/>
        <sz val="11"/>
        <rFont val="Calibri"/>
        <family val="2"/>
        <scheme val="minor"/>
      </rPr>
      <t>Geen</t>
    </r>
    <r>
      <rPr>
        <sz val="11"/>
        <rFont val="Calibri"/>
        <family val="2"/>
        <scheme val="minor"/>
      </rPr>
      <t xml:space="preserve"> vereenvoudigde kostenoptie (VKO), VKO voor arbeidskosten of VKO voor overige kosten.</t>
    </r>
  </si>
  <si>
    <t xml:space="preserve">In dit tabblad kunt u een berekening maken van het uurtarief. Dit doet u op basis van individuele loonkosten. </t>
  </si>
  <si>
    <t xml:space="preserve">2. U vult daarna de beschikbare cellen in op basis van wat u heeft u gekozen in kolom B. </t>
  </si>
  <si>
    <t>Gebruik de drop-down menu's in de cellen van een kostenregel. U selecteert zo de projectpartner, deelprestatie, subsidiabele activiteit en het kostentype.</t>
  </si>
  <si>
    <t>1. Geef aan welke projectpartner de kosten maakt. Geef waar nodig een korte beschrijving van de kostenpost.</t>
  </si>
  <si>
    <t xml:space="preserve">Bij het kostentype arbeidskosten maakt u in kolom G 'Specificatie arbeidskosten' een keuze (bijvoorbeeld loonkosten, eigen arbeid of een ander vast uurtarief). </t>
  </si>
  <si>
    <t xml:space="preserve">In kolom I van dit tabblad selecteert u via het drop-down menu in de cel het juiste loonkostennummer. Deze komt overeen met de getallen in kolom A in tabblad 4. </t>
  </si>
  <si>
    <t>In kolom T  kan een opmerking staan. Bijvoorbeeld wanneer u een wijziging doorvoert bij de VKO in tabblad 1 en bepaalde kostentypen niet opgegeven hoeven te worden.</t>
  </si>
  <si>
    <t>Hier vindt u uw begrotingsoverzicht. U ziet hier alle gegevens die u eerder heeft ingevuld.</t>
  </si>
  <si>
    <t>Wilt u minder subsidie aanvragen dan het maximale subsidiebedrag? Dit kan. Vul uw gewenste subsidiebedrag in bij regel 37.</t>
  </si>
  <si>
    <t xml:space="preserve">Let op: Zijn er binnen uw openstelling en project meerdere subsidiabele activiteiten, met verschillende subsidiepercentages van toepassing? Vul dan het totaal per subsidiabele activiteit in. </t>
  </si>
  <si>
    <t xml:space="preserve">In het openstellingsbesluit van de regeling staat welke mogelijkheden u heeft. </t>
  </si>
  <si>
    <t>U krijgt dan een vast tarief te zien door het kiezen van een kostentype en het soort arbeidskosten.</t>
  </si>
  <si>
    <t>Versie december 2024</t>
  </si>
  <si>
    <t>U gebruikt de gegevens uit de samenvatting om uw betaalverzoek in Mijn RVO in te voeren.</t>
  </si>
  <si>
    <t>Heeft u gekozen voor een VKO voor arbeidskosten? Of zijn arbeidskosten niet subsidiabel? Dan hoeft u dit tabblad niet in te vullen.</t>
  </si>
  <si>
    <t xml:space="preserve">Heeft u in uw subsidieaanvraag tabblad 4 gebruikt? Vul dan bij een betaalverzoek ook tabblad 7 in. </t>
  </si>
  <si>
    <t xml:space="preserve">Levert u later een tweede betaalverzoek in met nieuwe uurtarieven? Dan kunt u tabblad 7 bij elk betaalverzoek aanvullen. </t>
  </si>
  <si>
    <t xml:space="preserve">Tabblad 7 gebruikt u om de individuele uurtarieven voor loonkosten te berekenen. Ook kunt u IKS-tarieven opgeven. Let op dat deze bij RVO zijn doorgegeven. </t>
  </si>
  <si>
    <t xml:space="preserve">Zijn de uurtarieven niet aangepast bij de verlening? Dan kunt u de gegevens uit uw subsidieaanvraag (tabblad 4) overnemen. </t>
  </si>
  <si>
    <t>Verandert het uurtarief van een medewerker tijdens het jaar? Vul dan het uurtarief op 2 regels in (met verschillende periodes).</t>
  </si>
  <si>
    <t xml:space="preserve">In tabblad 8 verwijst u naar de uurtarieven uit tabblad 7. In tabblad 8 kiest u in kolom F uit 'Arbeidskosten' of 'Arbeidskosten op basis van IKS'. </t>
  </si>
  <si>
    <t xml:space="preserve">Vervolgens kiest u in het drop-down-menu van dezelfde regel, onder kolom G voor 'Loonkosten'. </t>
  </si>
  <si>
    <t xml:space="preserve">In kolom H kiest u vervolgens de naam van de medewerker met de bijbehorende periode of het jaar. </t>
  </si>
  <si>
    <t xml:space="preserve">Heeft u in kolom H de juiste naam van de medewerker en de periode of het jaar gekozen? Dan wordt automatisch het uurtarief voor deze medewerker ingevuld onder kolom O. </t>
  </si>
  <si>
    <t xml:space="preserve">Vul ook de 'Ontvangstdatum subsidieaanvraag' in. Deze datum staat in uw ontvangstbevestigingsbrief. </t>
  </si>
  <si>
    <t xml:space="preserve">Dit tabblad laat vervolgens een totaaloverzicht zien van het geselecteerde betalingsverzoek. </t>
  </si>
  <si>
    <t>Let op: Zijn er binnen uw openstelling en project meerdere subsidiabele activiteiten, met verschillende subsidiepercentages? Vul dan de totale uitgaven per subsidiabele activiteit in.</t>
  </si>
  <si>
    <r>
      <t xml:space="preserve">Kolom B </t>
    </r>
    <r>
      <rPr>
        <b/>
        <i/>
        <sz val="11"/>
        <rFont val="Calibri"/>
        <family val="2"/>
        <scheme val="minor"/>
      </rPr>
      <t>-</t>
    </r>
    <r>
      <rPr>
        <b/>
        <sz val="11"/>
        <rFont val="Calibri"/>
        <family val="2"/>
        <scheme val="minor"/>
      </rPr>
      <t>VolgNr</t>
    </r>
  </si>
  <si>
    <r>
      <t xml:space="preserve">Kolom C </t>
    </r>
    <r>
      <rPr>
        <b/>
        <i/>
        <sz val="11"/>
        <rFont val="Calibri"/>
        <family val="2"/>
        <scheme val="minor"/>
      </rPr>
      <t xml:space="preserve">- </t>
    </r>
    <r>
      <rPr>
        <b/>
        <sz val="11"/>
        <rFont val="Calibri"/>
        <family val="2"/>
        <scheme val="minor"/>
      </rPr>
      <t>Projectdeelnemer</t>
    </r>
  </si>
  <si>
    <t xml:space="preserve">U kiest deze in de cel met het drop-down-menu. De gegevens worden opgehaald uit uw subsidieaanvraag (tabblad 2 Projectdeelnemers). </t>
  </si>
  <si>
    <t xml:space="preserve">Let op dat u de optie kiest waar u subsidie voor hebt ontvangen. Is er iets veranderd? Dan moet u dit vooraf doorgeven. Een wijziging kan consequenties hebben voor de beoordeling van uw kosten. </t>
  </si>
  <si>
    <t xml:space="preserve">Bij eigen arbeid en overige vaste uurtarieven kunt u de naam van de medewerker of persoon invullen die uren in het project heeft gemaakt. </t>
  </si>
  <si>
    <t>Ligt de factuurdatum vóór de ontvangstdatum subsidieaanvraag? Dan kleurt de factuurdatum blauw (waarschuwing). De kosten zijn alleen subsidiabel wanneer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</si>
  <si>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</si>
  <si>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</si>
  <si>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Let op: Wanneer subsidiabel, zijn voorbereidingskosten standaard tot één jaar voordat u uw aanvraag doet subsidiabel.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</si>
</sst>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u/>
      <sz val="11"/>
      <name val="Calibri"/>
      <family val="2"/>
      <scheme val="minor"/>
    </font>
    <font>
      <strike/>
      <sz val="11"/>
      <name val="Calibri"/>
      <family val="2"/>
      <scheme val="minor"/>
    </font>
    <font>
      <b/>
      <i/>
      <sz val="11"/>
      <name val="Calibri"/>
      <family val="2"/>
      <scheme val="minor"/>
    </font>
    <font>
      <b/>
      <sz val="11"/>
      <color rgb="FFBD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3">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0"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2" fillId="11" borderId="1" xfId="5" applyFont="1" applyFill="1" applyBorder="1" applyAlignment="1" applyProtection="1">
      <alignment horizontal="left" wrapText="1"/>
      <protection hidden="1"/>
    </xf>
    <xf numFmtId="44" fontId="13"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0" fontId="8" fillId="18" borderId="3"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6" fillId="23" borderId="1" xfId="3" applyFont="1" applyFill="1" applyBorder="1" applyAlignment="1" applyProtection="1">
      <alignment vertical="center"/>
      <protection hidden="1"/>
    </xf>
    <xf numFmtId="0" fontId="16" fillId="23" borderId="1" xfId="3" applyFont="1" applyFill="1" applyBorder="1" applyAlignment="1" applyProtection="1">
      <alignment horizontal="left" vertical="center" wrapText="1"/>
      <protection hidden="1"/>
    </xf>
    <xf numFmtId="0" fontId="16"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6" fillId="23" borderId="1" xfId="3" applyNumberFormat="1" applyFont="1" applyFill="1" applyBorder="1" applyProtection="1">
      <protection hidden="1"/>
    </xf>
    <xf numFmtId="0" fontId="16" fillId="23" borderId="1" xfId="3" applyFont="1" applyFill="1" applyBorder="1" applyAlignment="1" applyProtection="1">
      <alignment wrapText="1"/>
      <protection hidden="1"/>
    </xf>
    <xf numFmtId="0" fontId="16"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5" fillId="12" borderId="1" xfId="7" applyNumberFormat="1" applyFont="1" applyFill="1" applyBorder="1" applyAlignment="1" applyProtection="1">
      <alignment horizontal="left" vertical="center" wrapText="1"/>
      <protection hidden="1"/>
    </xf>
    <xf numFmtId="0" fontId="14" fillId="19" borderId="1" xfId="5" applyFont="1" applyFill="1" applyBorder="1" applyAlignment="1" applyProtection="1">
      <alignment horizontal="left" vertical="center"/>
      <protection hidden="1"/>
    </xf>
    <xf numFmtId="44" fontId="14"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7"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6" fillId="25" borderId="14" xfId="0" applyFont="1" applyFill="1" applyBorder="1"/>
    <xf numFmtId="0" fontId="16"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0"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6"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0" fillId="23" borderId="3" xfId="1" applyNumberFormat="1" applyFont="1" applyFill="1" applyBorder="1" applyAlignment="1" applyProtection="1">
      <alignment vertical="center"/>
      <protection hidden="1"/>
    </xf>
    <xf numFmtId="0" fontId="10" fillId="23" borderId="10" xfId="1" applyNumberFormat="1" applyFont="1" applyFill="1" applyBorder="1" applyAlignment="1" applyProtection="1">
      <alignment vertical="center"/>
      <protection hidden="1"/>
    </xf>
    <xf numFmtId="0" fontId="10"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6" fillId="30" borderId="5" xfId="4" applyNumberFormat="1" applyFont="1" applyFill="1" applyBorder="1" applyAlignment="1" applyProtection="1">
      <alignment horizontal="left"/>
      <protection hidden="1"/>
    </xf>
    <xf numFmtId="0" fontId="10"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6"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0" fillId="18" borderId="2" xfId="1" applyNumberFormat="1" applyFont="1" applyFill="1" applyBorder="1" applyAlignment="1" applyProtection="1">
      <alignment vertical="center"/>
      <protection hidden="1"/>
    </xf>
    <xf numFmtId="0" fontId="16" fillId="23" borderId="1" xfId="3" applyFont="1" applyFill="1" applyBorder="1" applyAlignment="1" applyProtection="1">
      <alignment vertical="center" wrapText="1"/>
      <protection hidden="1"/>
    </xf>
    <xf numFmtId="0" fontId="16" fillId="23" borderId="1" xfId="3" applyNumberFormat="1" applyFont="1" applyFill="1" applyBorder="1" applyAlignment="1" applyProtection="1">
      <alignment vertical="center" wrapText="1"/>
      <protection hidden="1"/>
    </xf>
    <xf numFmtId="0" fontId="16" fillId="23" borderId="4" xfId="4" applyNumberFormat="1" applyFont="1" applyFill="1" applyBorder="1" applyAlignment="1" applyProtection="1">
      <alignment vertical="center" wrapText="1"/>
      <protection hidden="1"/>
    </xf>
    <xf numFmtId="0" fontId="16"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0"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18"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6" fillId="23" borderId="17" xfId="3" applyFont="1" applyFill="1" applyBorder="1" applyAlignment="1" applyProtection="1">
      <alignment wrapText="1"/>
      <protection hidden="1"/>
    </xf>
    <xf numFmtId="0" fontId="16" fillId="23" borderId="7" xfId="3" applyFont="1" applyFill="1" applyBorder="1" applyAlignment="1" applyProtection="1">
      <alignment wrapText="1"/>
      <protection hidden="1"/>
    </xf>
    <xf numFmtId="0" fontId="16"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18" fillId="15" borderId="18" xfId="8" applyFont="1" applyFill="1" applyBorder="1" applyProtection="1">
      <protection hidden="1"/>
    </xf>
    <xf numFmtId="10" fontId="18" fillId="15" borderId="18" xfId="0" applyNumberFormat="1" applyFont="1" applyFill="1" applyBorder="1" applyProtection="1">
      <protection hidden="1"/>
    </xf>
    <xf numFmtId="44" fontId="18" fillId="15" borderId="18" xfId="0" applyNumberFormat="1" applyFont="1" applyFill="1" applyBorder="1" applyProtection="1">
      <protection hidden="1"/>
    </xf>
    <xf numFmtId="164" fontId="18" fillId="15" borderId="23" xfId="0" applyNumberFormat="1" applyFont="1" applyFill="1" applyBorder="1" applyProtection="1">
      <protection hidden="1"/>
    </xf>
    <xf numFmtId="164" fontId="18"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18" fillId="15" borderId="21" xfId="0" applyFont="1" applyFill="1" applyBorder="1" applyProtection="1">
      <protection locked="0" hidden="1"/>
    </xf>
    <xf numFmtId="44" fontId="18" fillId="15" borderId="22" xfId="0" applyNumberFormat="1" applyFont="1" applyFill="1" applyBorder="1" applyProtection="1">
      <protection locked="0" hidden="1"/>
    </xf>
    <xf numFmtId="2" fontId="18" fillId="15" borderId="18" xfId="0" applyNumberFormat="1" applyFont="1" applyFill="1" applyBorder="1" applyProtection="1">
      <protection locked="0" hidden="1"/>
    </xf>
    <xf numFmtId="168" fontId="18" fillId="15" borderId="18" xfId="0" applyNumberFormat="1" applyFont="1" applyFill="1" applyBorder="1" applyProtection="1">
      <protection hidden="1"/>
    </xf>
    <xf numFmtId="0" fontId="16" fillId="23" borderId="22" xfId="3" applyFont="1" applyFill="1" applyBorder="1" applyAlignment="1" applyProtection="1">
      <alignment wrapText="1"/>
      <protection hidden="1"/>
    </xf>
    <xf numFmtId="0" fontId="16" fillId="23" borderId="18" xfId="3" applyFont="1" applyFill="1" applyBorder="1" applyAlignment="1" applyProtection="1">
      <alignment horizontal="center" wrapText="1"/>
      <protection hidden="1"/>
    </xf>
    <xf numFmtId="0" fontId="16" fillId="23" borderId="18" xfId="3" applyFont="1" applyFill="1" applyBorder="1" applyAlignment="1" applyProtection="1">
      <alignment horizontal="center"/>
      <protection hidden="1"/>
    </xf>
    <xf numFmtId="0" fontId="16"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6" fillId="16" borderId="1" xfId="3" applyFont="1" applyFill="1" applyBorder="1" applyAlignment="1" applyProtection="1">
      <alignment wrapText="1"/>
      <protection hidden="1"/>
    </xf>
    <xf numFmtId="0" fontId="0" fillId="0" borderId="0" xfId="0" applyProtection="1">
      <protection locked="0"/>
    </xf>
    <xf numFmtId="169" fontId="18"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6"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6" fillId="29" borderId="4" xfId="0" applyFont="1" applyFill="1" applyBorder="1" applyAlignment="1">
      <alignment wrapText="1"/>
    </xf>
    <xf numFmtId="0" fontId="16" fillId="29" borderId="4" xfId="0" applyFont="1" applyFill="1" applyBorder="1" applyAlignment="1">
      <alignment vertical="center" wrapText="1"/>
    </xf>
    <xf numFmtId="0" fontId="16"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20"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6"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18" fillId="15" borderId="18" xfId="0" applyNumberFormat="1" applyFont="1" applyFill="1" applyBorder="1" applyAlignment="1" applyProtection="1">
      <alignment vertical="top"/>
      <protection locked="0" hidden="1"/>
    </xf>
    <xf numFmtId="44" fontId="18" fillId="15" borderId="18" xfId="0" applyNumberFormat="1" applyFont="1" applyFill="1" applyBorder="1" applyAlignment="1" applyProtection="1">
      <alignment vertical="top"/>
      <protection locked="0" hidden="1"/>
    </xf>
    <xf numFmtId="44" fontId="18" fillId="15" borderId="18" xfId="0" applyNumberFormat="1" applyFont="1" applyFill="1" applyBorder="1" applyAlignment="1" applyProtection="1">
      <alignment vertical="top"/>
      <protection hidden="1"/>
    </xf>
    <xf numFmtId="168" fontId="18" fillId="15" borderId="18" xfId="0" applyNumberFormat="1" applyFont="1" applyFill="1" applyBorder="1" applyAlignment="1" applyProtection="1">
      <alignment vertical="top"/>
      <protection hidden="1"/>
    </xf>
    <xf numFmtId="164" fontId="18"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18" fillId="15" borderId="18" xfId="8" applyFont="1" applyFill="1" applyBorder="1" applyAlignment="1" applyProtection="1">
      <alignment vertical="top"/>
      <protection hidden="1"/>
    </xf>
    <xf numFmtId="10" fontId="18" fillId="15" borderId="18" xfId="0" applyNumberFormat="1" applyFont="1" applyFill="1" applyBorder="1" applyAlignment="1" applyProtection="1">
      <alignment vertical="top"/>
      <protection hidden="1"/>
    </xf>
    <xf numFmtId="164" fontId="18"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6" fillId="0" borderId="0" xfId="0" applyFont="1" applyProtection="1">
      <protection hidden="1"/>
    </xf>
    <xf numFmtId="0" fontId="1" fillId="0" borderId="0" xfId="0" applyFont="1" applyAlignment="1" applyProtection="1">
      <alignment vertical="center"/>
      <protection hidden="1"/>
    </xf>
    <xf numFmtId="0" fontId="16"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6" fillId="2" borderId="0" xfId="2" applyNumberFormat="1" applyFont="1" applyFill="1" applyBorder="1" applyAlignment="1" applyProtection="1">
      <protection hidden="1"/>
    </xf>
    <xf numFmtId="0" fontId="16" fillId="23" borderId="46" xfId="3" applyFont="1" applyFill="1" applyBorder="1" applyAlignment="1" applyProtection="1">
      <alignment wrapText="1"/>
      <protection hidden="1"/>
    </xf>
    <xf numFmtId="0" fontId="16" fillId="23" borderId="47" xfId="3" applyFont="1" applyFill="1" applyBorder="1" applyAlignment="1" applyProtection="1">
      <alignment wrapText="1"/>
      <protection hidden="1"/>
    </xf>
    <xf numFmtId="44" fontId="18" fillId="15" borderId="22" xfId="0" applyNumberFormat="1" applyFont="1" applyFill="1" applyBorder="1" applyProtection="1">
      <protection hidden="1"/>
    </xf>
    <xf numFmtId="164" fontId="18"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19"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19" fillId="32" borderId="1" xfId="2" applyNumberFormat="1" applyFont="1" applyFill="1" applyBorder="1" applyAlignment="1" applyProtection="1">
      <alignment vertical="top"/>
      <protection hidden="1"/>
    </xf>
    <xf numFmtId="0" fontId="19" fillId="32" borderId="1" xfId="0" applyFont="1" applyFill="1" applyBorder="1" applyAlignment="1" applyProtection="1">
      <alignment vertical="top"/>
      <protection locked="0"/>
    </xf>
    <xf numFmtId="164" fontId="19"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6" fillId="16" borderId="2" xfId="3" applyFont="1" applyFill="1" applyBorder="1" applyAlignment="1" applyProtection="1">
      <alignment wrapText="1"/>
      <protection hidden="1"/>
    </xf>
    <xf numFmtId="0" fontId="16" fillId="16" borderId="44" xfId="3" applyFont="1" applyFill="1" applyBorder="1" applyAlignment="1" applyProtection="1">
      <alignment wrapText="1"/>
      <protection hidden="1"/>
    </xf>
    <xf numFmtId="49" fontId="18" fillId="15" borderId="39" xfId="0" applyNumberFormat="1" applyFont="1" applyFill="1" applyBorder="1" applyAlignment="1" applyProtection="1">
      <alignment vertical="top" wrapText="1"/>
      <protection locked="0"/>
    </xf>
    <xf numFmtId="0" fontId="16"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6" fillId="23" borderId="49" xfId="3" applyFont="1" applyFill="1" applyBorder="1" applyAlignment="1" applyProtection="1">
      <alignment wrapText="1"/>
      <protection hidden="1"/>
    </xf>
    <xf numFmtId="0" fontId="16"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6"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5" fillId="11" borderId="3" xfId="7" applyNumberFormat="1" applyFont="1" applyFill="1" applyBorder="1" applyAlignment="1" applyProtection="1">
      <alignment horizontal="left" vertical="center" wrapText="1"/>
      <protection hidden="1"/>
    </xf>
    <xf numFmtId="44" fontId="15"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5" fillId="11" borderId="1" xfId="5" applyFont="1" applyFill="1" applyBorder="1" applyAlignment="1" applyProtection="1">
      <alignment horizontal="left" vertical="center"/>
      <protection hidden="1"/>
    </xf>
    <xf numFmtId="44" fontId="15" fillId="11" borderId="1" xfId="7" applyNumberFormat="1" applyFont="1" applyFill="1" applyBorder="1" applyAlignment="1" applyProtection="1">
      <alignment vertical="center"/>
      <protection hidden="1"/>
    </xf>
    <xf numFmtId="0" fontId="15" fillId="11" borderId="27" xfId="5" applyFont="1" applyFill="1" applyBorder="1" applyAlignment="1" applyProtection="1">
      <alignment horizontal="left" vertical="center" wrapText="1"/>
      <protection hidden="1"/>
    </xf>
    <xf numFmtId="10" fontId="15" fillId="11" borderId="12" xfId="8" applyNumberFormat="1" applyFont="1" applyFill="1" applyBorder="1" applyAlignment="1" applyProtection="1">
      <alignment vertical="center"/>
      <protection hidden="1"/>
    </xf>
    <xf numFmtId="0" fontId="15" fillId="11" borderId="27" xfId="5" applyFont="1" applyFill="1" applyBorder="1" applyAlignment="1" applyProtection="1">
      <alignment horizontal="left" wrapText="1"/>
      <protection hidden="1"/>
    </xf>
    <xf numFmtId="44" fontId="15" fillId="11" borderId="12" xfId="7" applyNumberFormat="1" applyFont="1" applyFill="1" applyBorder="1" applyAlignment="1" applyProtection="1">
      <protection hidden="1"/>
    </xf>
    <xf numFmtId="44" fontId="15" fillId="11" borderId="28" xfId="7" applyNumberFormat="1" applyFont="1" applyFill="1" applyBorder="1" applyAlignment="1" applyProtection="1">
      <protection hidden="1"/>
    </xf>
    <xf numFmtId="44" fontId="15" fillId="11" borderId="29" xfId="7" applyNumberFormat="1" applyFont="1" applyFill="1" applyBorder="1" applyAlignment="1" applyProtection="1">
      <protection hidden="1"/>
    </xf>
    <xf numFmtId="44" fontId="15" fillId="11" borderId="12" xfId="7" applyNumberFormat="1" applyFont="1" applyFill="1" applyBorder="1" applyAlignment="1" applyProtection="1">
      <alignment vertical="center"/>
      <protection hidden="1"/>
    </xf>
    <xf numFmtId="0" fontId="15" fillId="11" borderId="1" xfId="5" applyFont="1" applyFill="1" applyBorder="1" applyAlignment="1" applyProtection="1">
      <alignment horizontal="left" vertical="center" wrapText="1"/>
      <protection hidden="1"/>
    </xf>
    <xf numFmtId="0" fontId="15" fillId="11" borderId="1" xfId="5" applyFont="1" applyFill="1" applyBorder="1" applyAlignment="1" applyProtection="1">
      <alignment horizontal="left" wrapText="1"/>
      <protection hidden="1"/>
    </xf>
    <xf numFmtId="44" fontId="15" fillId="11" borderId="1" xfId="7" applyNumberFormat="1" applyFont="1" applyFill="1" applyBorder="1" applyAlignment="1" applyProtection="1">
      <protection hidden="1"/>
    </xf>
    <xf numFmtId="44" fontId="15" fillId="11" borderId="3" xfId="7" applyNumberFormat="1" applyFont="1" applyFill="1" applyBorder="1" applyAlignment="1" applyProtection="1">
      <protection hidden="1"/>
    </xf>
    <xf numFmtId="44" fontId="15" fillId="11" borderId="2" xfId="7" applyNumberFormat="1" applyFont="1" applyFill="1" applyBorder="1" applyAlignment="1" applyProtection="1">
      <protection hidden="1"/>
    </xf>
    <xf numFmtId="10" fontId="15"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18" fillId="15" borderId="21" xfId="0" applyFont="1" applyFill="1" applyBorder="1" applyAlignment="1" applyProtection="1">
      <alignment vertical="top"/>
      <protection locked="0"/>
    </xf>
    <xf numFmtId="44" fontId="18" fillId="15" borderId="22" xfId="0" applyNumberFormat="1" applyFont="1" applyFill="1" applyBorder="1" applyAlignment="1" applyProtection="1">
      <alignment vertical="top"/>
      <protection locked="0"/>
    </xf>
    <xf numFmtId="4" fontId="18" fillId="15" borderId="18" xfId="0" applyNumberFormat="1" applyFont="1" applyFill="1" applyBorder="1" applyAlignment="1" applyProtection="1">
      <alignment vertical="top"/>
      <protection locked="0"/>
    </xf>
    <xf numFmtId="44" fontId="18" fillId="15" borderId="18" xfId="0" applyNumberFormat="1" applyFont="1" applyFill="1" applyBorder="1" applyAlignment="1" applyProtection="1">
      <alignment vertical="top"/>
      <protection locked="0"/>
    </xf>
    <xf numFmtId="0" fontId="16" fillId="23" borderId="39" xfId="3" applyFont="1" applyFill="1" applyBorder="1" applyAlignment="1" applyProtection="1">
      <alignment wrapText="1"/>
      <protection hidden="1"/>
    </xf>
    <xf numFmtId="0" fontId="16" fillId="24" borderId="45" xfId="3" applyFont="1" applyFill="1" applyBorder="1" applyAlignment="1" applyProtection="1">
      <alignment wrapText="1"/>
      <protection hidden="1"/>
    </xf>
    <xf numFmtId="0" fontId="16" fillId="24" borderId="1" xfId="3" applyFont="1" applyFill="1" applyBorder="1" applyAlignment="1" applyProtection="1">
      <alignment wrapText="1"/>
      <protection hidden="1"/>
    </xf>
    <xf numFmtId="0" fontId="0" fillId="16" borderId="0" xfId="0" applyFill="1" applyAlignment="1">
      <alignment vertical="top" wrapText="1"/>
    </xf>
    <xf numFmtId="0" fontId="0" fillId="35" borderId="0" xfId="0" applyFill="1" applyAlignment="1">
      <alignment wrapText="1"/>
    </xf>
    <xf numFmtId="0" fontId="21"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1"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1" fillId="2" borderId="0" xfId="0" applyFont="1" applyFill="1" applyAlignment="1">
      <alignment horizontal="left" indent="2"/>
    </xf>
    <xf numFmtId="49" fontId="0" fillId="0" borderId="0" xfId="0" applyNumberFormat="1"/>
    <xf numFmtId="0" fontId="24" fillId="2" borderId="0" xfId="0" applyFont="1" applyFill="1" applyAlignment="1">
      <alignment horizontal="left" vertical="center" indent="2"/>
    </xf>
    <xf numFmtId="0" fontId="7" fillId="2" borderId="0" xfId="0" applyFont="1" applyFill="1" applyAlignment="1">
      <alignment horizontal="left" vertical="center" indent="2"/>
    </xf>
    <xf numFmtId="0" fontId="26" fillId="2" borderId="0" xfId="0" applyFont="1" applyFill="1"/>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6" fillId="30" borderId="3" xfId="3" applyFont="1" applyFill="1" applyBorder="1" applyAlignment="1" applyProtection="1">
      <alignment horizontal="center"/>
      <protection hidden="1"/>
    </xf>
    <xf numFmtId="0" fontId="16" fillId="30" borderId="2" xfId="3" applyFont="1" applyFill="1" applyBorder="1" applyAlignment="1" applyProtection="1">
      <alignment horizontal="center"/>
      <protection hidden="1"/>
    </xf>
    <xf numFmtId="0" fontId="16" fillId="30" borderId="3" xfId="3" applyFont="1" applyFill="1" applyBorder="1" applyAlignment="1" applyProtection="1">
      <alignment horizont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44" fontId="15" fillId="11" borderId="3" xfId="7" applyNumberFormat="1" applyFont="1" applyFill="1" applyBorder="1" applyAlignment="1" applyProtection="1">
      <alignment horizontal="left" vertical="center" wrapText="1"/>
      <protection hidden="1"/>
    </xf>
    <xf numFmtId="44" fontId="15" fillId="11" borderId="2" xfId="7" applyNumberFormat="1" applyFont="1" applyFill="1" applyBorder="1" applyAlignment="1" applyProtection="1">
      <alignment horizontal="left" vertical="center" wrapText="1"/>
      <protection hidden="1"/>
    </xf>
    <xf numFmtId="0" fontId="15" fillId="11" borderId="28" xfId="5" applyFont="1" applyFill="1" applyBorder="1" applyAlignment="1" applyProtection="1">
      <alignment horizontal="left" vertical="center" wrapText="1"/>
      <protection hidden="1"/>
    </xf>
    <xf numFmtId="0" fontId="15" fillId="11" borderId="36" xfId="5" applyFont="1" applyFill="1" applyBorder="1" applyAlignment="1" applyProtection="1">
      <alignment horizontal="left" vertical="center" wrapText="1"/>
      <protection hidden="1"/>
    </xf>
    <xf numFmtId="0" fontId="15" fillId="11" borderId="37" xfId="5" applyFont="1" applyFill="1" applyBorder="1" applyAlignment="1" applyProtection="1">
      <alignment horizontal="center" vertical="center" wrapText="1"/>
      <protection hidden="1"/>
    </xf>
    <xf numFmtId="0" fontId="15" fillId="11" borderId="38" xfId="5" applyFont="1" applyFill="1" applyBorder="1" applyAlignment="1" applyProtection="1">
      <alignment horizontal="center" vertical="center" wrapText="1"/>
      <protection hidden="1"/>
    </xf>
    <xf numFmtId="0" fontId="15" fillId="11" borderId="36" xfId="5" applyFont="1" applyFill="1" applyBorder="1" applyAlignment="1" applyProtection="1">
      <alignment horizontal="center" vertical="center" wrapText="1"/>
      <protection hidden="1"/>
    </xf>
    <xf numFmtId="0" fontId="15" fillId="11" borderId="34" xfId="5" applyFont="1" applyFill="1" applyBorder="1" applyAlignment="1" applyProtection="1">
      <alignment horizontal="center" vertical="center" wrapText="1"/>
      <protection hidden="1"/>
    </xf>
    <xf numFmtId="0" fontId="15" fillId="11" borderId="35" xfId="5" applyFont="1" applyFill="1" applyBorder="1" applyAlignment="1" applyProtection="1">
      <alignment horizontal="center" vertical="center" wrapText="1"/>
      <protection hidden="1"/>
    </xf>
    <xf numFmtId="0" fontId="15" fillId="11" borderId="30" xfId="5" applyFont="1" applyFill="1" applyBorder="1" applyAlignment="1" applyProtection="1">
      <alignment horizontal="center" vertical="center" wrapText="1"/>
      <protection hidden="1"/>
    </xf>
    <xf numFmtId="0" fontId="15" fillId="11" borderId="31" xfId="5" applyFont="1" applyFill="1" applyBorder="1" applyAlignment="1" applyProtection="1">
      <alignment horizontal="center" wrapText="1"/>
      <protection hidden="1"/>
    </xf>
    <xf numFmtId="0" fontId="15" fillId="11" borderId="32" xfId="5" applyFont="1" applyFill="1" applyBorder="1" applyAlignment="1" applyProtection="1">
      <alignment horizontal="center" wrapText="1"/>
      <protection hidden="1"/>
    </xf>
    <xf numFmtId="0" fontId="15" fillId="11" borderId="33" xfId="5" applyFont="1" applyFill="1" applyBorder="1" applyAlignment="1" applyProtection="1">
      <alignment horizontal="center" wrapText="1"/>
      <protection hidden="1"/>
    </xf>
    <xf numFmtId="44" fontId="15" fillId="11" borderId="28" xfId="7" applyNumberFormat="1" applyFont="1" applyFill="1" applyBorder="1" applyAlignment="1" applyProtection="1">
      <alignment horizontal="left" vertical="center" wrapText="1"/>
      <protection hidden="1"/>
    </xf>
    <xf numFmtId="44" fontId="15"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xf numFmtId="0" fontId="28" fillId="18" borderId="1" xfId="3" applyFont="1" applyFill="1" applyBorder="1" applyProtection="1">
      <protection hidden="1"/>
    </xf>
    <xf numFmtId="44" fontId="28" fillId="18" borderId="1" xfId="3" applyNumberFormat="1" applyFont="1" applyFill="1" applyBorder="1" applyProtection="1">
      <protection hidden="1"/>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11">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border>
        <left style="thin">
          <color rgb="FFFF0000"/>
        </left>
        <right style="thin">
          <color rgb="FFFF0000"/>
        </right>
        <top style="thin">
          <color rgb="FFFF0000"/>
        </top>
        <bottom style="thin">
          <color rgb="FFFF0000"/>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3" formatCode="#,##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210" dataDxfId="209">
  <tableColumns count="31">
    <tableColumn id="1" xr3:uid="{4FC831A0-ABC4-4093-8E9C-A71F8D55B386}" name="Openstelling" dataDxfId="208"/>
    <tableColumn id="2" xr3:uid="{BDBE6677-4833-4E06-89E1-54F800393059}" name="Subsidiabele_Activiteit" dataDxfId="207"/>
    <tableColumn id="3" xr3:uid="{D60E7305-BF27-4BE4-A457-8377F9E7334E}" name="Subsidie %" dataDxfId="206"/>
    <tableColumn id="4" xr3:uid="{BB1F079C-CEFB-44F2-9B23-B3722450CB0C}" name="Arbeidskosten" dataDxfId="205"/>
    <tableColumn id="5" xr3:uid="{4E5D2361-4170-484A-AB0A-1C417A1CDBCE}" name="Arbeidskosten op basis van IKS" dataDxfId="204">
      <calculatedColumnFormula>IFERROR(IF(VLOOKUP(Tb_Activiteiten[[#This Row],[Openstelling]],Tb_Openstelling[],2,0)=1,1,""),"")</calculatedColumnFormula>
    </tableColumn>
    <tableColumn id="7" xr3:uid="{C4BA27ED-9766-4959-9960-34056A7708BE}" name="Kosten derden exclusief btw" dataDxfId="203"/>
    <tableColumn id="8" xr3:uid="{8D158D05-3FCF-4F9B-B2D8-1C8B3FCDE2F0}" name="Niet verrekenbare btw" dataDxfId="202"/>
    <tableColumn id="9" xr3:uid="{8D50B413-5AB1-4381-9F2F-FA0D621956D8}" name="Grondkosten" dataDxfId="201"/>
    <tableColumn id="10" xr3:uid="{7934201B-23C4-435B-8349-45D7F5EA4D8E}" name="Bijdrage in natura (overige)" dataDxfId="200"/>
    <tableColumn id="11" xr3:uid="{3EDF8E13-89B0-4EFC-93D0-E7666B0ACEE1}" name="Bijdrage in natura (vrijwilligers)" dataDxfId="199"/>
    <tableColumn id="12" xr3:uid="{0A610226-E32D-4A16-A0F0-7F23060C9396}" name="Afschrijvingskosten" dataDxfId="198"/>
    <tableColumn id="6" xr3:uid="{70EE89BD-0AF1-4A42-8325-3176EF4D038E}" name="Loonkosten" dataDxfId="197"/>
    <tableColumn id="19" xr3:uid="{9F2B0ED0-76CB-4909-836D-8E7CA405FAB0}" name="Eigen arbeid" dataDxfId="196"/>
    <tableColumn id="13" xr3:uid="{0122FD0D-30E5-4169-AFDD-9262DB6B79B1}" name="Projectmedewerker" dataDxfId="195"/>
    <tableColumn id="14" xr3:uid="{6E776D66-8E46-4B55-9352-1B0F40F0592C}" name="Landbouwer" dataDxfId="194"/>
    <tableColumn id="15" xr3:uid="{03E8DC6E-292D-40C6-8338-05487E147D78}" name="Adviseur" dataDxfId="193"/>
    <tableColumn id="16" xr3:uid="{3C7B3D03-AAC3-4426-8C15-10B06EFBEEC3}" name="Projectleider/Expert" dataDxfId="192"/>
    <tableColumn id="26" xr3:uid="{5C890250-EA1C-47AD-AD57-4A9F7670499E}" name="Arbeid_vast_1" dataDxfId="191">
      <calculatedColumnFormula>IF(ISNUMBER(FIND("arbeid",Methode_Keuze)),"",IF(ISNUMBER(FIND("arbeid",Methode_Keuze)),"",IF(Tb_Activiteiten[[#This Row],[Loonkosten]]=1,Tb_Activiteiten[[#Headers],[Loonkosten]],"")))</calculatedColumnFormula>
    </tableColumn>
    <tableColumn id="30" xr3:uid="{6483900E-1D8A-48BA-BC8D-E3487D3D1070}" name="Arbeid_vast_2" dataDxfId="190">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189">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188">
      <calculatedColumnFormula>IF(ISNUMBER(FIND("arbeid",Methode_Keuze)),"",IF(ISNUMBER(FIND("arbeid",Methode_Keuze)),"",IF(Tb_Activiteiten[[#This Row],[Landbouwer]]=1,Tb_Activiteiten[[#Headers],[Landbouwer]],"")))</calculatedColumnFormula>
    </tableColumn>
    <tableColumn id="33" xr3:uid="{52CFD47C-6AB1-44C5-88C8-E82BCF9E637D}" name="Arbeid_vast_5" dataDxfId="187">
      <calculatedColumnFormula>IF(ISNUMBER(FIND("arbeid",Methode_Keuze)),"",IF(ISNUMBER(FIND("arbeid",Methode_Keuze)),"",IF(Tb_Activiteiten[[#This Row],[Adviseur]]=1,Tb_Activiteiten[[#Headers],[Adviseur]],"")))</calculatedColumnFormula>
    </tableColumn>
    <tableColumn id="34" xr3:uid="{18E42BD0-5AED-43E3-8C86-DF7E66CC2FD8}" name="Arbeid_vast_6" dataDxfId="186">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185">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184">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183">
      <calculatedColumnFormula>IF(ISNUMBER(FIND("overige",Methode_Keuze)),"",IF(Tb_Activiteiten[[#This Row],[Kosten derden exclusief btw]]=1,Tb_Activiteiten[[#Headers],[Kosten derden exclusief btw]],""))</calculatedColumnFormula>
    </tableColumn>
    <tableColumn id="21" xr3:uid="{8B07933A-1C0A-47B4-B916-FD37AE076A3E}" name="Kostenpost_4" dataDxfId="182">
      <calculatedColumnFormula>IF(ISNUMBER(FIND("overige",Methode_Keuze)),"",IF(Tb_Activiteiten[[#This Row],[Niet verrekenbare btw]]=1,Tb_Activiteiten[[#Headers],[Niet verrekenbare btw]],""))</calculatedColumnFormula>
    </tableColumn>
    <tableColumn id="22" xr3:uid="{953530BF-C585-407A-A08A-0595C56CD8D2}" name="Kostenpost_5" dataDxfId="181">
      <calculatedColumnFormula>IF(ISNUMBER(FIND("overige",Methode_Keuze)),"",IF(Tb_Activiteiten[[#This Row],[Grondkosten]]=1,Tb_Activiteiten[[#Headers],[Grondkosten]],""))</calculatedColumnFormula>
    </tableColumn>
    <tableColumn id="23" xr3:uid="{13362067-6257-4FBC-922F-37044919E2E1}" name="Kostenpost_6" dataDxfId="180">
      <calculatedColumnFormula>IF(ISNUMBER(FIND("overige",Methode_Keuze)),"",IF(Tb_Activiteiten[[#This Row],[Bijdrage in natura (overige)]]=1,Tb_Activiteiten[[#Headers],[Bijdrage in natura (overige)]],""))</calculatedColumnFormula>
    </tableColumn>
    <tableColumn id="24" xr3:uid="{4F768848-2060-48E2-98C0-E1F003FF9210}" name="Kostenpost_7" dataDxfId="179">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178">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177" dataDxfId="176">
  <tableColumns count="7">
    <tableColumn id="1" xr3:uid="{0EFE5CAE-C14D-4238-A738-2AF316F00AAE}" name="Openstelling" dataDxfId="175"/>
    <tableColumn id="4" xr3:uid="{2A9284CB-EA54-4B09-9759-A8D936C0D919}" name="IKS" dataDxfId="174"/>
    <tableColumn id="3" xr3:uid="{7C9AE659-EEC3-4F87-9C69-65D59EF511CB}" name="Geen VKO" dataDxfId="173"/>
    <tableColumn id="5" xr3:uid="{4CC9DDF8-27D3-4A3A-AF90-241FEF59ADCC}" name="VKO arbeid" dataDxfId="172"/>
    <tableColumn id="2" xr3:uid="{4ACFCDD5-915F-40F6-9F0D-B67183D5EEAC}" name="VKO overig" dataDxfId="171"/>
    <tableColumn id="6" xr3:uid="{91FF20B6-E557-4417-96A7-30276C2051CA}" name="Min. subsidiebedrag" dataDxfId="170"/>
    <tableColumn id="7" xr3:uid="{46D88572-AA49-42C5-BCBC-066712762F2E}" name="Max. subsidiebedrag" dataDxfId="16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168">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167">
  <autoFilter ref="Q11:AA19" xr:uid="{9F51824B-5CF6-4DC2-ACB3-A4E9E7784C57}"/>
  <tableColumns count="11">
    <tableColumn id="1" xr3:uid="{2F3F9470-2B8B-4036-A5A4-5BC84E4B8DD7}" name="KostenOmschrijving" dataDxfId="166"/>
    <tableColumn id="2" xr3:uid="{831F417A-6FA9-4C96-936A-EEA85C0817C5}" name="Kosten_Aanvraag" dataDxfId="165">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164">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163"/>
    <tableColumn id="6" xr3:uid="{E9126FDC-4B0A-4906-AC5D-2525153657E8}" name="Forfait" dataDxfId="162">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161"/>
    <tableColumn id="10" xr3:uid="{EF1806D2-502D-4F0C-8415-13A0647D4049}" name="Forfait_Bedrag" dataDxfId="160">
      <calculatedColumnFormula>SUMIF('5. Kosten uitvoering project'!$F:$F,Tb_ProjectKosten[[#This Row],[Begroting]],'5. Kosten uitvoering project'!R:R)</calculatedColumnFormula>
    </tableColumn>
    <tableColumn id="8" xr3:uid="{6E1F7D31-D5FE-455E-B3A2-D9AA7039DCB8}" name="Forfait_Bedrag_Beoordeeld" dataDxfId="159">
      <calculatedColumnFormula>SUMIF('5. Kosten uitvoering project'!$F:$F,Tb_ProjectKosten[[#This Row],[Begroting]],'5. Kosten uitvoering project'!S:S)</calculatedColumnFormula>
    </tableColumn>
    <tableColumn id="11" xr3:uid="{4FD57502-7656-4D88-90B3-AC7B38448B8E}" name="Kosten_Aanvraag_Inclusief" dataDxfId="158">
      <calculatedColumnFormula>Tb_ProjectKosten[[#This Row],[Kosten_Aanvraag]]+Tb_ProjectKosten[[#This Row],[Forfait_Bedrag]]</calculatedColumnFormula>
    </tableColumn>
    <tableColumn id="4" xr3:uid="{20D42C4B-A6CC-4A88-BC68-75A67967BF46}" name="Kosten_Beoordeeld_Inclusief" dataDxfId="157">
      <calculatedColumnFormula>Tb_ProjectKosten[[#This Row],[Kosten_Beoordeeld]]+Tb_ProjectKosten[[#This Row],[Forfait_Bedrag_Beoordeeld]]</calculatedColumnFormula>
    </tableColumn>
    <tableColumn id="7" xr3:uid="{4F40C8E3-D9D5-4BE4-A0DE-0B6F48A357C4}" name="Opmerking" dataDxfId="156">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155"/>
    <tableColumn id="4" xr3:uid="{0DFF44C4-2CF5-4BAC-999A-474E45E3AE92}" name="Deelbetaling" dataDxfId="154">
      <calculatedColumnFormula>IF(Keuze_DB_Nr&lt;&gt;"",Keuze_DB_Nr,"")</calculatedColumnFormula>
    </tableColumn>
    <tableColumn id="2" xr3:uid="{D7EF5D4E-C280-4448-B599-4F9AFF9F4460}" name="Deelbetaling_Aanvraag" dataDxfId="153">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52">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51">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150"/>
    <tableColumn id="10" xr3:uid="{5E44BC59-8593-420A-ADFA-E0C433FE45B7}" name="Forfait_Bedrag" dataDxfId="149">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48">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47">
      <calculatedColumnFormula>Tb_DBKosten[[#This Row],[Deelbetaling_Aanvraag]]+Tb_DBKosten[[#This Row],[Forfait_Bedrag]]</calculatedColumnFormula>
    </tableColumn>
    <tableColumn id="5" xr3:uid="{E4550958-F033-4A58-A7C8-97856031EA18}" name="Uitgaven_Beoordeeld_Inclusief" dataDxfId="146">
      <calculatedColumnFormula>Tb_DBKosten[[#This Row],[Deelbetaling_Beoordeeld]]+Tb_DBKosten[[#This Row],[Forfait_Bedrag_Beoordeeld]]</calculatedColumnFormula>
    </tableColumn>
    <tableColumn id="7" xr3:uid="{4F4D1BDB-62A5-42CE-A1C5-2C2898547051}" name="Opmerking" dataDxfId="145">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144">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143"/>
    <tableColumn id="4" xr3:uid="{1FAD732B-887F-41B4-9CDC-A2FDEED6D0DA}" name="Deelbetaling" dataDxfId="142">
      <calculatedColumnFormula>IF(Keuze_DB_Nr_BEO&lt;&gt;"",Keuze_DB_Nr_BEO,"")</calculatedColumnFormula>
    </tableColumn>
    <tableColumn id="2" xr3:uid="{5FAAA98A-3F59-429A-AAEF-F5BD90973EB6}" name="Deelbetaling_Aanvraag" dataDxfId="141">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40">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39">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38"/>
    <tableColumn id="10" xr3:uid="{02F6A4EA-520C-44C2-9565-8ABB24DD4BE6}" name="Forfait_Bedrag" dataDxfId="137">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36">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35">
      <calculatedColumnFormula>Tb_DBKostenBEO[[#This Row],[Deelbetaling_Aanvraag]]+Tb_DBKostenBEO[[#This Row],[Forfait_Bedrag]]</calculatedColumnFormula>
    </tableColumn>
    <tableColumn id="5" xr3:uid="{6F3153B9-502C-4DC5-88E7-3E9FE5FA33BB}" name="Uitgaven_Beoordeeld_Inclusief" dataDxfId="134">
      <calculatedColumnFormula>Tb_DBKostenBEO[[#This Row],[Deelbetaling_Beoordeeld]]+Tb_DBKostenBEO[[#This Row],[Forfait_Bedrag_Beoordeeld]]</calculatedColumnFormula>
    </tableColumn>
    <tableColumn id="7" xr3:uid="{255F25DF-14B3-46D2-AE6C-659AE2A43CAC}" name="Opmerking" dataDxfId="133">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32" dataDxfId="130" headerRowBorderDxfId="131" tableBorderDxfId="129">
  <autoFilter ref="B2:I9" xr:uid="{EF18165E-1E22-4AA2-89FB-8C6EB1500185}"/>
  <tableColumns count="8">
    <tableColumn id="1" xr3:uid="{AA722BCD-DB51-4C1C-964B-A542CDAFD58D}" name="Kostentype" dataDxfId="128"/>
    <tableColumn id="8" xr3:uid="{C80D61D5-1FFD-41D8-9A31-CD9C0589D973}" name="Type" dataDxfId="127"/>
    <tableColumn id="16" xr3:uid="{97E14609-F0ED-471F-976E-F46CAAEF5E3A}" name="Forfait" dataDxfId="126"/>
    <tableColumn id="12" xr3:uid="{E2302880-7157-4478-857E-4AE1C8E4EE73}" name="Arbeidskosten" dataDxfId="125"/>
    <tableColumn id="11" xr3:uid="{0AFF5F76-45CD-49B9-B26B-BED703671F5D}" name="Weergeven" dataDxfId="124">
      <calculatedColumnFormula>IF(COUNTIFS(Kostentypen!$B$76:$G$87,Tb_KostenTypen[[#This Row],[Kostentype]])&gt;0,1,0)</calculatedColumnFormula>
    </tableColumn>
    <tableColumn id="2" xr3:uid="{3BBD5B9A-46F6-43DF-BB1E-6230EC9646D1}" name="Geen vereenvoudigde kostenoptie" dataDxfId="123"/>
    <tableColumn id="3" xr3:uid="{9512AFBA-74B0-4B9B-A2D6-96F3D2570811}" name="Vereenvoudigde kostenoptie voor arbeidskosten" dataDxfId="122"/>
    <tableColumn id="7" xr3:uid="{22C7790E-000E-433B-A63C-83E031A637C7}" name="Vereenvoudigde kostenoptie voor overige kosten" dataDxfId="1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sheetPr>
  <dimension ref="A1:W96"/>
  <sheetViews>
    <sheetView showRowColHeaders="0" zoomScaleNormal="100" workbookViewId="0">
      <selection activeCell="E28" sqref="E28"/>
    </sheetView>
  </sheetViews>
  <sheetFormatPr defaultColWidth="9.140625" defaultRowHeight="15" x14ac:dyDescent="0.25"/>
  <cols>
    <col min="1" max="1" width="9.140625" style="330"/>
    <col min="2" max="16384" width="9.140625" style="22"/>
  </cols>
  <sheetData>
    <row r="1" spans="1:19" ht="110.1" customHeight="1" x14ac:dyDescent="0.25"/>
    <row r="2" spans="1:19" ht="30" customHeight="1" x14ac:dyDescent="0.25">
      <c r="A2" s="331" t="s">
        <v>372</v>
      </c>
    </row>
    <row r="3" spans="1:19" ht="30" customHeight="1" x14ac:dyDescent="0.25">
      <c r="A3" s="338" t="s">
        <v>395</v>
      </c>
    </row>
    <row r="4" spans="1:19" ht="15" customHeight="1" x14ac:dyDescent="0.25">
      <c r="A4" s="332" t="s">
        <v>411</v>
      </c>
    </row>
    <row r="6" spans="1:19" x14ac:dyDescent="0.25">
      <c r="A6" s="334" t="s">
        <v>234</v>
      </c>
      <c r="B6" s="23"/>
      <c r="C6" s="23"/>
      <c r="D6" s="23"/>
      <c r="E6" s="23"/>
      <c r="F6" s="23"/>
      <c r="G6" s="23"/>
      <c r="H6" s="23"/>
      <c r="I6" s="23"/>
      <c r="J6" s="23"/>
      <c r="K6" s="23"/>
      <c r="L6" s="23"/>
      <c r="M6" s="23"/>
      <c r="N6" s="23"/>
      <c r="O6" s="23"/>
      <c r="P6" s="23"/>
      <c r="Q6" s="23"/>
      <c r="R6" s="23"/>
      <c r="S6" s="23"/>
    </row>
    <row r="7" spans="1:19" x14ac:dyDescent="0.25">
      <c r="A7" s="334" t="s">
        <v>396</v>
      </c>
      <c r="B7" s="23"/>
      <c r="C7" s="23"/>
      <c r="D7" s="23"/>
      <c r="E7" s="23"/>
      <c r="F7" s="23"/>
      <c r="G7" s="23"/>
      <c r="H7" s="23"/>
      <c r="I7" s="23"/>
      <c r="J7" s="23"/>
      <c r="K7" s="23"/>
      <c r="L7" s="23"/>
      <c r="M7" s="23"/>
      <c r="N7" s="23"/>
      <c r="O7" s="23"/>
      <c r="P7" s="23"/>
      <c r="Q7" s="23"/>
      <c r="R7" s="23"/>
      <c r="S7" s="23"/>
    </row>
    <row r="8" spans="1:19" x14ac:dyDescent="0.25">
      <c r="A8" s="334"/>
      <c r="B8" s="23"/>
      <c r="C8" s="23"/>
      <c r="D8" s="23"/>
      <c r="E8" s="23"/>
      <c r="F8" s="23"/>
      <c r="G8" s="23"/>
      <c r="H8" s="23"/>
      <c r="I8" s="23"/>
      <c r="J8" s="23"/>
      <c r="K8" s="23"/>
      <c r="L8" s="23"/>
      <c r="M8" s="23"/>
      <c r="N8" s="23"/>
      <c r="O8" s="23"/>
      <c r="P8" s="23"/>
      <c r="Q8" s="23"/>
      <c r="R8" s="23"/>
      <c r="S8" s="23"/>
    </row>
    <row r="9" spans="1:19" x14ac:dyDescent="0.25">
      <c r="A9" s="334" t="s">
        <v>288</v>
      </c>
      <c r="B9" s="23"/>
      <c r="C9" s="23"/>
      <c r="D9" s="23"/>
      <c r="E9" s="23"/>
      <c r="F9" s="23"/>
      <c r="G9" s="23"/>
      <c r="H9" s="23"/>
      <c r="I9" s="23"/>
      <c r="J9" s="23"/>
      <c r="K9" s="23"/>
      <c r="L9" s="23"/>
      <c r="M9" s="23"/>
      <c r="N9" s="23"/>
      <c r="O9" s="23"/>
      <c r="P9" s="23"/>
      <c r="Q9" s="23"/>
      <c r="R9" s="23"/>
      <c r="S9" s="23"/>
    </row>
    <row r="10" spans="1:19" x14ac:dyDescent="0.25">
      <c r="A10" s="334" t="s">
        <v>308</v>
      </c>
      <c r="B10" s="23"/>
      <c r="C10" s="23"/>
      <c r="D10" s="23"/>
      <c r="E10" s="23"/>
      <c r="F10" s="23"/>
      <c r="G10" s="23"/>
      <c r="H10" s="23"/>
      <c r="I10" s="23"/>
      <c r="J10" s="23"/>
      <c r="K10" s="23"/>
      <c r="L10" s="23"/>
      <c r="M10" s="23"/>
      <c r="N10" s="23"/>
      <c r="O10" s="23"/>
      <c r="P10" s="23"/>
      <c r="Q10" s="23"/>
      <c r="R10" s="23"/>
      <c r="S10" s="23"/>
    </row>
    <row r="11" spans="1:19" x14ac:dyDescent="0.25">
      <c r="A11" s="334"/>
      <c r="B11" s="23"/>
      <c r="C11" s="23"/>
      <c r="D11" s="23"/>
      <c r="E11" s="23"/>
      <c r="F11" s="23"/>
      <c r="G11" s="23"/>
      <c r="H11" s="23"/>
      <c r="I11" s="23"/>
      <c r="J11" s="23"/>
      <c r="K11" s="23"/>
      <c r="L11" s="23"/>
      <c r="M11" s="23"/>
      <c r="N11" s="23"/>
      <c r="O11" s="23"/>
      <c r="P11" s="23"/>
      <c r="Q11" s="23"/>
      <c r="R11" s="23"/>
      <c r="S11" s="23"/>
    </row>
    <row r="12" spans="1:19" x14ac:dyDescent="0.25">
      <c r="A12" s="339" t="s">
        <v>235</v>
      </c>
      <c r="B12" s="23"/>
      <c r="C12" s="23"/>
      <c r="D12" s="23"/>
      <c r="E12" s="23"/>
      <c r="F12" s="23"/>
      <c r="G12" s="23"/>
      <c r="H12" s="23"/>
      <c r="I12" s="23"/>
      <c r="J12" s="23"/>
      <c r="K12" s="23"/>
      <c r="L12" s="23"/>
      <c r="M12" s="23"/>
      <c r="N12" s="23"/>
      <c r="O12" s="23"/>
      <c r="P12" s="23"/>
      <c r="Q12" s="23"/>
      <c r="R12" s="23"/>
      <c r="S12" s="23"/>
    </row>
    <row r="13" spans="1:19" x14ac:dyDescent="0.25">
      <c r="A13" s="339" t="s">
        <v>313</v>
      </c>
      <c r="B13" s="23"/>
      <c r="C13" s="23"/>
      <c r="D13" s="23"/>
      <c r="E13" s="23"/>
      <c r="F13" s="23"/>
      <c r="G13" s="23"/>
      <c r="H13" s="23"/>
      <c r="I13" s="23"/>
      <c r="J13" s="23"/>
      <c r="K13" s="23"/>
      <c r="L13" s="23"/>
      <c r="M13" s="23"/>
      <c r="N13" s="23"/>
      <c r="O13" s="23"/>
      <c r="P13" s="23"/>
      <c r="Q13" s="23"/>
      <c r="R13" s="23"/>
      <c r="S13" s="23"/>
    </row>
    <row r="14" spans="1:19" x14ac:dyDescent="0.25">
      <c r="A14" s="334" t="s">
        <v>397</v>
      </c>
      <c r="B14" s="23"/>
      <c r="C14" s="23"/>
      <c r="D14" s="23"/>
      <c r="E14" s="23"/>
      <c r="F14" s="23"/>
      <c r="G14" s="23"/>
      <c r="H14" s="23"/>
      <c r="I14" s="23"/>
      <c r="J14" s="23"/>
      <c r="K14" s="23"/>
      <c r="L14" s="23"/>
      <c r="M14" s="23"/>
      <c r="N14" s="23"/>
      <c r="O14" s="23"/>
      <c r="P14" s="23"/>
      <c r="Q14" s="23"/>
      <c r="R14" s="23"/>
      <c r="S14" s="23"/>
    </row>
    <row r="15" spans="1:19" x14ac:dyDescent="0.25">
      <c r="A15" s="334" t="s">
        <v>282</v>
      </c>
      <c r="B15" s="23"/>
      <c r="C15" s="23"/>
      <c r="D15" s="23"/>
      <c r="E15" s="23"/>
      <c r="F15" s="23"/>
      <c r="G15" s="23"/>
      <c r="H15" s="23"/>
      <c r="I15" s="23"/>
      <c r="J15" s="23"/>
      <c r="K15" s="23"/>
      <c r="L15" s="23"/>
      <c r="M15" s="23"/>
      <c r="N15" s="23"/>
      <c r="O15" s="23"/>
      <c r="P15" s="23"/>
      <c r="Q15" s="23"/>
      <c r="R15" s="23"/>
      <c r="S15" s="23"/>
    </row>
    <row r="16" spans="1:19" x14ac:dyDescent="0.25">
      <c r="A16" s="334" t="s">
        <v>398</v>
      </c>
      <c r="B16" s="23"/>
      <c r="C16" s="23"/>
      <c r="D16" s="23"/>
      <c r="E16" s="23"/>
      <c r="F16" s="23"/>
      <c r="G16" s="23"/>
      <c r="H16" s="23"/>
      <c r="I16" s="23"/>
      <c r="J16" s="23"/>
      <c r="K16" s="23"/>
      <c r="L16" s="23"/>
      <c r="M16" s="23"/>
      <c r="N16" s="23"/>
      <c r="O16" s="23"/>
      <c r="P16" s="23"/>
      <c r="Q16" s="23"/>
      <c r="R16" s="23"/>
      <c r="S16" s="23"/>
    </row>
    <row r="17" spans="1:19" x14ac:dyDescent="0.25">
      <c r="A17" s="334" t="s">
        <v>409</v>
      </c>
      <c r="B17" s="23"/>
      <c r="C17" s="23"/>
      <c r="D17" s="23"/>
      <c r="E17" s="23"/>
      <c r="F17" s="23"/>
      <c r="G17" s="23"/>
      <c r="H17" s="23"/>
      <c r="I17" s="23"/>
      <c r="J17" s="23"/>
      <c r="K17" s="23"/>
      <c r="L17" s="23"/>
      <c r="M17" s="23"/>
      <c r="N17" s="23"/>
      <c r="O17" s="23"/>
      <c r="P17" s="23"/>
      <c r="Q17" s="23"/>
      <c r="R17" s="23"/>
      <c r="S17" s="23"/>
    </row>
    <row r="18" spans="1:19" x14ac:dyDescent="0.25">
      <c r="A18" s="334"/>
      <c r="B18" s="23"/>
      <c r="C18" s="23"/>
      <c r="D18" s="23"/>
      <c r="E18" s="23"/>
      <c r="F18" s="23"/>
      <c r="G18" s="23"/>
      <c r="H18" s="23"/>
      <c r="I18" s="23"/>
      <c r="J18" s="23"/>
      <c r="K18" s="23"/>
      <c r="L18" s="23"/>
      <c r="M18" s="23"/>
      <c r="N18" s="23"/>
      <c r="O18" s="23"/>
      <c r="P18" s="23"/>
      <c r="Q18" s="23"/>
      <c r="R18" s="23"/>
      <c r="S18" s="23"/>
    </row>
    <row r="19" spans="1:19" x14ac:dyDescent="0.25">
      <c r="A19" s="339" t="s">
        <v>314</v>
      </c>
      <c r="B19" s="23"/>
      <c r="C19" s="23"/>
      <c r="D19" s="23"/>
      <c r="E19" s="23"/>
      <c r="F19" s="23"/>
      <c r="G19" s="23"/>
      <c r="H19" s="23"/>
      <c r="I19" s="23"/>
      <c r="J19" s="23"/>
      <c r="K19" s="23"/>
      <c r="L19" s="23"/>
      <c r="M19" s="23"/>
      <c r="N19" s="23"/>
      <c r="O19" s="23"/>
      <c r="P19" s="23"/>
      <c r="Q19" s="23"/>
      <c r="R19" s="23"/>
      <c r="S19" s="23"/>
    </row>
    <row r="20" spans="1:19" x14ac:dyDescent="0.25">
      <c r="A20" s="334" t="s">
        <v>376</v>
      </c>
      <c r="B20" s="23"/>
      <c r="C20" s="23"/>
      <c r="D20" s="23"/>
      <c r="E20" s="23"/>
      <c r="F20" s="23"/>
      <c r="G20" s="23"/>
      <c r="H20" s="23"/>
      <c r="I20" s="23"/>
      <c r="J20" s="23"/>
      <c r="K20" s="23"/>
      <c r="L20" s="23"/>
      <c r="M20" s="23"/>
      <c r="N20" s="23"/>
      <c r="O20" s="23"/>
      <c r="P20" s="23"/>
      <c r="Q20" s="23"/>
      <c r="R20" s="23"/>
      <c r="S20" s="23"/>
    </row>
    <row r="21" spans="1:19" x14ac:dyDescent="0.25">
      <c r="A21" s="334" t="s">
        <v>283</v>
      </c>
      <c r="B21" s="23"/>
      <c r="C21" s="23"/>
      <c r="D21" s="23"/>
      <c r="E21" s="23"/>
      <c r="F21" s="23"/>
      <c r="G21" s="23"/>
      <c r="H21" s="23"/>
      <c r="I21" s="23"/>
      <c r="J21" s="23"/>
      <c r="K21" s="23"/>
      <c r="L21" s="23"/>
      <c r="M21" s="23"/>
      <c r="N21" s="23"/>
      <c r="O21" s="23"/>
      <c r="P21" s="23"/>
      <c r="Q21" s="23"/>
      <c r="R21" s="23"/>
      <c r="S21" s="23"/>
    </row>
    <row r="22" spans="1:19" x14ac:dyDescent="0.25">
      <c r="A22" s="334" t="s">
        <v>289</v>
      </c>
      <c r="B22" s="23"/>
      <c r="C22" s="23"/>
      <c r="D22" s="23"/>
      <c r="E22" s="23"/>
      <c r="F22" s="23"/>
      <c r="G22" s="23"/>
      <c r="H22" s="23"/>
      <c r="I22" s="23"/>
      <c r="J22" s="23"/>
      <c r="K22" s="23"/>
      <c r="L22" s="23"/>
      <c r="M22" s="23"/>
      <c r="N22" s="23"/>
      <c r="O22" s="23"/>
      <c r="P22" s="23"/>
      <c r="Q22" s="23"/>
      <c r="R22" s="23"/>
      <c r="S22" s="23"/>
    </row>
    <row r="23" spans="1:19" x14ac:dyDescent="0.25">
      <c r="A23" s="334" t="s">
        <v>290</v>
      </c>
      <c r="B23" s="23"/>
      <c r="C23" s="23"/>
      <c r="D23" s="23"/>
      <c r="E23" s="23"/>
      <c r="F23" s="23"/>
      <c r="G23" s="23"/>
      <c r="H23" s="23"/>
      <c r="I23" s="23"/>
      <c r="J23" s="23"/>
      <c r="K23" s="23"/>
      <c r="L23" s="23"/>
      <c r="M23" s="23"/>
      <c r="N23" s="23"/>
      <c r="O23" s="23"/>
      <c r="P23" s="23"/>
      <c r="Q23" s="23"/>
      <c r="R23" s="23"/>
      <c r="S23" s="23"/>
    </row>
    <row r="24" spans="1:19" x14ac:dyDescent="0.25">
      <c r="A24" s="334" t="s">
        <v>236</v>
      </c>
      <c r="B24" s="23"/>
      <c r="C24" s="23"/>
      <c r="D24" s="23"/>
      <c r="E24" s="23"/>
      <c r="F24" s="23"/>
      <c r="G24" s="23"/>
      <c r="H24" s="23"/>
      <c r="I24" s="23"/>
      <c r="J24" s="23"/>
      <c r="K24" s="23"/>
      <c r="L24" s="23"/>
      <c r="M24" s="23"/>
      <c r="N24" s="23"/>
      <c r="O24" s="23"/>
      <c r="P24" s="23"/>
      <c r="Q24" s="23"/>
      <c r="R24" s="23"/>
      <c r="S24" s="23"/>
    </row>
    <row r="25" spans="1:19" x14ac:dyDescent="0.25">
      <c r="A25" s="334" t="s">
        <v>237</v>
      </c>
      <c r="B25" s="23"/>
      <c r="C25" s="23"/>
      <c r="D25" s="23"/>
      <c r="E25" s="23"/>
      <c r="F25" s="23"/>
      <c r="G25" s="23"/>
      <c r="H25" s="23"/>
      <c r="I25" s="23"/>
      <c r="J25" s="23"/>
      <c r="K25" s="23"/>
      <c r="L25" s="23"/>
      <c r="M25" s="23"/>
      <c r="N25" s="23"/>
      <c r="O25" s="23"/>
      <c r="P25" s="23"/>
      <c r="Q25" s="23"/>
      <c r="R25" s="23"/>
      <c r="S25" s="23"/>
    </row>
    <row r="26" spans="1:19" x14ac:dyDescent="0.25">
      <c r="A26" s="334"/>
      <c r="B26" s="23"/>
      <c r="C26" s="23"/>
      <c r="D26" s="23"/>
      <c r="E26" s="23"/>
      <c r="F26" s="23"/>
      <c r="G26" s="23"/>
      <c r="H26" s="23"/>
      <c r="I26" s="23"/>
      <c r="J26" s="23"/>
      <c r="K26" s="23"/>
      <c r="L26" s="23"/>
      <c r="M26" s="23"/>
      <c r="N26" s="23"/>
      <c r="O26" s="23"/>
      <c r="P26" s="23"/>
      <c r="Q26" s="23"/>
      <c r="R26" s="23"/>
      <c r="S26" s="23"/>
    </row>
    <row r="27" spans="1:19" x14ac:dyDescent="0.25">
      <c r="A27" s="339" t="s">
        <v>315</v>
      </c>
      <c r="B27" s="23"/>
      <c r="C27" s="23"/>
      <c r="D27" s="23"/>
      <c r="E27" s="23"/>
      <c r="F27" s="23"/>
      <c r="G27" s="23"/>
      <c r="H27" s="23"/>
      <c r="I27" s="23"/>
      <c r="J27" s="23"/>
      <c r="K27" s="23"/>
      <c r="L27" s="23"/>
      <c r="M27" s="23"/>
      <c r="N27" s="23"/>
      <c r="O27" s="23"/>
      <c r="P27" s="23"/>
      <c r="Q27" s="23"/>
      <c r="R27" s="23"/>
      <c r="S27" s="23"/>
    </row>
    <row r="28" spans="1:19" x14ac:dyDescent="0.25">
      <c r="A28" s="334" t="s">
        <v>373</v>
      </c>
      <c r="B28" s="23"/>
      <c r="C28" s="23"/>
      <c r="D28" s="23"/>
      <c r="E28" s="23"/>
      <c r="F28" s="23"/>
      <c r="G28" s="23"/>
      <c r="H28" s="23"/>
      <c r="I28" s="23"/>
      <c r="J28" s="23"/>
      <c r="K28" s="23"/>
      <c r="L28" s="23"/>
      <c r="M28" s="23"/>
      <c r="N28" s="23"/>
      <c r="O28" s="23"/>
      <c r="P28" s="23"/>
      <c r="Q28" s="23"/>
      <c r="R28" s="23"/>
      <c r="S28" s="23"/>
    </row>
    <row r="29" spans="1:19" x14ac:dyDescent="0.25">
      <c r="A29" s="334" t="s">
        <v>238</v>
      </c>
      <c r="B29" s="23"/>
      <c r="C29" s="23"/>
      <c r="D29" s="23"/>
      <c r="E29" s="23"/>
      <c r="F29" s="23"/>
      <c r="G29" s="23"/>
      <c r="H29" s="23"/>
      <c r="I29" s="23"/>
      <c r="J29" s="23"/>
      <c r="K29" s="23"/>
      <c r="L29" s="23"/>
      <c r="M29" s="23"/>
      <c r="N29" s="23"/>
      <c r="O29" s="23"/>
      <c r="P29" s="23"/>
      <c r="Q29" s="23"/>
      <c r="R29" s="23"/>
      <c r="S29" s="23"/>
    </row>
    <row r="30" spans="1:19" x14ac:dyDescent="0.25">
      <c r="A30" s="334"/>
      <c r="B30" s="23"/>
      <c r="C30" s="23"/>
      <c r="D30" s="23"/>
      <c r="E30" s="23"/>
      <c r="F30" s="23"/>
      <c r="G30" s="23"/>
      <c r="H30" s="23"/>
      <c r="I30" s="23"/>
      <c r="J30" s="23"/>
      <c r="K30" s="23"/>
      <c r="L30" s="23"/>
      <c r="M30" s="23"/>
      <c r="N30" s="23"/>
      <c r="O30" s="23"/>
      <c r="P30" s="23"/>
      <c r="Q30" s="23"/>
      <c r="R30" s="23"/>
      <c r="S30" s="23"/>
    </row>
    <row r="31" spans="1:19" x14ac:dyDescent="0.25">
      <c r="A31" s="334" t="s">
        <v>316</v>
      </c>
      <c r="B31" s="23"/>
      <c r="C31" s="23"/>
      <c r="D31" s="23"/>
      <c r="E31" s="23"/>
      <c r="F31" s="23"/>
      <c r="G31" s="23"/>
      <c r="H31" s="23"/>
      <c r="I31" s="23"/>
      <c r="J31" s="23"/>
      <c r="K31" s="23"/>
      <c r="L31" s="23"/>
      <c r="M31" s="23"/>
      <c r="N31" s="23"/>
      <c r="O31" s="23"/>
      <c r="P31" s="23"/>
      <c r="Q31" s="23"/>
      <c r="R31" s="23"/>
      <c r="S31" s="23"/>
    </row>
    <row r="32" spans="1:19" x14ac:dyDescent="0.25">
      <c r="A32" s="334" t="s">
        <v>289</v>
      </c>
      <c r="B32" s="23"/>
      <c r="C32" s="23"/>
      <c r="D32" s="23"/>
      <c r="E32" s="23"/>
      <c r="F32" s="23"/>
      <c r="G32" s="23"/>
      <c r="H32" s="23"/>
      <c r="I32" s="23"/>
      <c r="J32" s="23"/>
      <c r="K32" s="23"/>
      <c r="L32" s="23"/>
      <c r="M32" s="23"/>
      <c r="N32" s="23"/>
      <c r="O32" s="23"/>
      <c r="P32" s="23"/>
      <c r="Q32" s="23"/>
      <c r="R32" s="23"/>
      <c r="S32" s="23"/>
    </row>
    <row r="33" spans="1:19" x14ac:dyDescent="0.25">
      <c r="A33" s="334" t="s">
        <v>291</v>
      </c>
      <c r="B33" s="23"/>
      <c r="C33" s="23"/>
      <c r="D33" s="23"/>
      <c r="E33" s="23"/>
      <c r="F33" s="23"/>
      <c r="G33" s="23"/>
      <c r="H33" s="23"/>
      <c r="I33" s="23"/>
      <c r="J33" s="23"/>
      <c r="K33" s="23"/>
      <c r="L33" s="23"/>
      <c r="M33" s="23"/>
      <c r="N33" s="23"/>
      <c r="O33" s="23"/>
      <c r="P33" s="23"/>
      <c r="Q33" s="23"/>
      <c r="R33" s="23"/>
      <c r="S33" s="23"/>
    </row>
    <row r="34" spans="1:19" x14ac:dyDescent="0.25">
      <c r="A34" s="334" t="s">
        <v>269</v>
      </c>
      <c r="B34" s="23"/>
      <c r="C34" s="23"/>
      <c r="D34" s="23"/>
      <c r="E34" s="23"/>
      <c r="F34" s="23"/>
      <c r="G34" s="23"/>
      <c r="H34" s="23"/>
      <c r="I34" s="23"/>
      <c r="J34" s="23"/>
      <c r="K34" s="23"/>
      <c r="L34" s="23"/>
      <c r="M34" s="23"/>
      <c r="N34" s="23"/>
      <c r="O34" s="23"/>
      <c r="P34" s="23"/>
      <c r="Q34" s="23"/>
      <c r="R34" s="23"/>
      <c r="S34" s="23"/>
    </row>
    <row r="35" spans="1:19" x14ac:dyDescent="0.25">
      <c r="A35" s="334" t="s">
        <v>270</v>
      </c>
      <c r="B35" s="23"/>
      <c r="C35" s="23"/>
      <c r="D35" s="23"/>
      <c r="E35" s="23"/>
      <c r="F35" s="23"/>
      <c r="G35" s="23"/>
      <c r="H35" s="23"/>
      <c r="I35" s="23"/>
      <c r="J35" s="23"/>
      <c r="K35" s="23"/>
      <c r="L35" s="23"/>
      <c r="M35" s="23"/>
      <c r="N35" s="23"/>
      <c r="O35" s="23"/>
      <c r="P35" s="23"/>
      <c r="Q35" s="23"/>
      <c r="R35" s="23"/>
      <c r="S35" s="23"/>
    </row>
    <row r="36" spans="1:19" x14ac:dyDescent="0.25">
      <c r="A36" s="334" t="s">
        <v>284</v>
      </c>
      <c r="B36" s="23"/>
      <c r="C36" s="23"/>
      <c r="D36" s="23"/>
      <c r="E36" s="23"/>
      <c r="F36" s="23"/>
      <c r="G36" s="23"/>
      <c r="H36" s="23"/>
      <c r="I36" s="23"/>
      <c r="J36" s="23"/>
      <c r="K36" s="23"/>
      <c r="L36" s="23"/>
      <c r="M36" s="23"/>
      <c r="N36" s="23"/>
      <c r="O36" s="23"/>
      <c r="P36" s="23"/>
      <c r="Q36" s="23"/>
      <c r="R36" s="23"/>
      <c r="S36" s="23"/>
    </row>
    <row r="37" spans="1:19" x14ac:dyDescent="0.25">
      <c r="A37" s="334" t="s">
        <v>237</v>
      </c>
      <c r="B37" s="23"/>
      <c r="C37" s="23"/>
      <c r="D37" s="23"/>
      <c r="E37" s="23"/>
      <c r="F37" s="23"/>
      <c r="G37" s="23"/>
      <c r="H37" s="23"/>
      <c r="I37" s="23"/>
      <c r="J37" s="23"/>
      <c r="K37" s="23"/>
      <c r="L37" s="23"/>
      <c r="M37" s="23"/>
      <c r="N37" s="23"/>
      <c r="O37" s="23"/>
      <c r="P37" s="23"/>
      <c r="Q37" s="23"/>
      <c r="R37" s="23"/>
      <c r="S37" s="23"/>
    </row>
    <row r="38" spans="1:19" x14ac:dyDescent="0.25">
      <c r="A38" s="334"/>
      <c r="B38" s="23"/>
      <c r="C38" s="23"/>
      <c r="D38" s="23"/>
      <c r="E38" s="23"/>
      <c r="F38" s="23"/>
      <c r="G38" s="23"/>
      <c r="H38" s="23"/>
      <c r="I38" s="23"/>
      <c r="J38" s="23"/>
      <c r="K38" s="23"/>
      <c r="L38" s="23"/>
      <c r="M38" s="23"/>
      <c r="N38" s="23"/>
      <c r="O38" s="23"/>
      <c r="P38" s="23"/>
      <c r="Q38" s="23"/>
      <c r="R38" s="23"/>
      <c r="S38" s="23"/>
    </row>
    <row r="39" spans="1:19" x14ac:dyDescent="0.25">
      <c r="A39" s="339" t="s">
        <v>317</v>
      </c>
      <c r="B39" s="23"/>
      <c r="C39" s="23"/>
      <c r="D39" s="23"/>
      <c r="E39" s="23"/>
      <c r="F39" s="23"/>
      <c r="G39" s="23"/>
      <c r="H39" s="23"/>
      <c r="I39" s="23"/>
      <c r="J39" s="23"/>
      <c r="K39" s="23"/>
      <c r="L39" s="23"/>
      <c r="M39" s="23"/>
      <c r="N39" s="23"/>
      <c r="O39" s="23"/>
      <c r="P39" s="23"/>
      <c r="Q39" s="23"/>
      <c r="R39" s="23"/>
      <c r="S39" s="23"/>
    </row>
    <row r="40" spans="1:19" x14ac:dyDescent="0.25">
      <c r="A40" s="334" t="s">
        <v>285</v>
      </c>
      <c r="B40" s="23"/>
      <c r="C40" s="23"/>
      <c r="D40" s="23"/>
      <c r="E40" s="23"/>
      <c r="F40" s="23"/>
      <c r="G40" s="23"/>
      <c r="H40" s="23"/>
      <c r="I40" s="23"/>
      <c r="J40" s="23"/>
      <c r="K40" s="23"/>
      <c r="L40" s="23"/>
      <c r="M40" s="23"/>
      <c r="N40" s="23"/>
      <c r="O40" s="23"/>
      <c r="P40" s="23"/>
      <c r="Q40" s="23"/>
      <c r="R40" s="23"/>
      <c r="S40" s="23"/>
    </row>
    <row r="41" spans="1:19" x14ac:dyDescent="0.25">
      <c r="A41" s="334" t="s">
        <v>399</v>
      </c>
      <c r="B41" s="23"/>
      <c r="C41" s="23"/>
      <c r="D41" s="23"/>
      <c r="E41" s="23"/>
      <c r="F41" s="23"/>
      <c r="G41" s="23"/>
      <c r="H41" s="23"/>
      <c r="I41" s="23"/>
      <c r="J41" s="23"/>
      <c r="K41" s="23"/>
      <c r="L41" s="23"/>
      <c r="M41" s="23"/>
      <c r="N41" s="23"/>
      <c r="O41" s="23"/>
      <c r="P41" s="23"/>
      <c r="Q41" s="23"/>
      <c r="R41" s="23"/>
      <c r="S41" s="23"/>
    </row>
    <row r="42" spans="1:19" x14ac:dyDescent="0.25">
      <c r="A42" s="334" t="s">
        <v>239</v>
      </c>
      <c r="B42" s="23"/>
      <c r="C42" s="23"/>
      <c r="D42" s="23"/>
      <c r="E42" s="23"/>
      <c r="F42" s="23"/>
      <c r="G42" s="23"/>
      <c r="H42" s="23"/>
      <c r="I42" s="23"/>
      <c r="J42" s="23"/>
      <c r="K42" s="23"/>
      <c r="L42" s="23"/>
      <c r="M42" s="23"/>
      <c r="N42" s="23"/>
      <c r="O42" s="23"/>
      <c r="P42" s="23"/>
      <c r="Q42" s="23"/>
      <c r="R42" s="23"/>
      <c r="S42" s="23"/>
    </row>
    <row r="43" spans="1:19" x14ac:dyDescent="0.25">
      <c r="A43" s="334"/>
      <c r="B43" s="23"/>
      <c r="C43" s="23"/>
      <c r="D43" s="23"/>
      <c r="E43" s="23"/>
      <c r="F43" s="23"/>
      <c r="G43" s="23"/>
      <c r="H43" s="23"/>
      <c r="I43" s="23"/>
      <c r="J43" s="23"/>
      <c r="K43" s="23"/>
      <c r="L43" s="23"/>
      <c r="M43" s="23"/>
      <c r="N43" s="23"/>
      <c r="O43" s="23"/>
      <c r="P43" s="23"/>
      <c r="Q43" s="23"/>
      <c r="R43" s="23"/>
      <c r="S43" s="23"/>
    </row>
    <row r="44" spans="1:19" x14ac:dyDescent="0.25">
      <c r="A44" s="334" t="s">
        <v>240</v>
      </c>
      <c r="B44" s="23"/>
      <c r="C44" s="23"/>
      <c r="D44" s="23"/>
      <c r="E44" s="23"/>
      <c r="F44" s="23"/>
      <c r="G44" s="23"/>
      <c r="H44" s="23"/>
      <c r="I44" s="23"/>
      <c r="J44" s="23"/>
      <c r="K44" s="23"/>
      <c r="L44" s="23"/>
      <c r="M44" s="23"/>
      <c r="N44" s="23"/>
      <c r="O44" s="23"/>
      <c r="P44" s="23"/>
      <c r="Q44" s="23"/>
      <c r="R44" s="23"/>
      <c r="S44" s="23"/>
    </row>
    <row r="45" spans="1:19" x14ac:dyDescent="0.25">
      <c r="A45" s="334" t="s">
        <v>241</v>
      </c>
      <c r="B45" s="23"/>
      <c r="C45" s="23"/>
      <c r="D45" s="23"/>
      <c r="E45" s="23"/>
      <c r="F45" s="23"/>
      <c r="G45" s="23"/>
      <c r="H45" s="23"/>
      <c r="I45" s="23"/>
      <c r="J45" s="23"/>
      <c r="K45" s="23"/>
      <c r="L45" s="23"/>
      <c r="M45" s="23"/>
      <c r="N45" s="23"/>
      <c r="O45" s="23"/>
      <c r="P45" s="23"/>
      <c r="Q45" s="23"/>
      <c r="R45" s="23"/>
      <c r="S45" s="23"/>
    </row>
    <row r="46" spans="1:19" x14ac:dyDescent="0.25">
      <c r="A46" s="334" t="s">
        <v>400</v>
      </c>
      <c r="B46" s="23"/>
      <c r="C46" s="23"/>
      <c r="D46" s="23"/>
      <c r="E46" s="23"/>
      <c r="F46" s="23"/>
      <c r="G46" s="23"/>
      <c r="H46" s="23"/>
      <c r="I46" s="23"/>
      <c r="J46" s="23"/>
      <c r="K46" s="23"/>
      <c r="L46" s="23"/>
      <c r="M46" s="23"/>
      <c r="N46" s="23"/>
      <c r="O46" s="23"/>
      <c r="P46" s="23"/>
      <c r="Q46" s="23"/>
      <c r="R46" s="23"/>
      <c r="S46" s="23"/>
    </row>
    <row r="47" spans="1:19" x14ac:dyDescent="0.25">
      <c r="A47" s="334"/>
      <c r="B47" s="23"/>
      <c r="C47" s="23"/>
      <c r="D47" s="23"/>
      <c r="E47" s="23"/>
      <c r="F47" s="23"/>
      <c r="G47" s="23"/>
      <c r="H47" s="23"/>
      <c r="I47" s="23"/>
      <c r="J47" s="23"/>
      <c r="K47" s="23"/>
      <c r="L47" s="23"/>
      <c r="M47" s="23"/>
      <c r="N47" s="23"/>
      <c r="O47" s="23"/>
      <c r="P47" s="23"/>
      <c r="Q47" s="23"/>
      <c r="R47" s="23"/>
      <c r="S47" s="23"/>
    </row>
    <row r="48" spans="1:19" x14ac:dyDescent="0.25">
      <c r="A48" s="334" t="s">
        <v>242</v>
      </c>
      <c r="B48" s="23"/>
      <c r="C48" s="23"/>
      <c r="D48" s="23"/>
      <c r="E48" s="23"/>
      <c r="F48" s="23"/>
      <c r="G48" s="23"/>
      <c r="H48" s="23"/>
      <c r="I48" s="23"/>
      <c r="J48" s="23"/>
      <c r="K48" s="23"/>
      <c r="L48" s="23"/>
      <c r="M48" s="23"/>
      <c r="N48" s="23"/>
      <c r="O48" s="23"/>
      <c r="P48" s="23"/>
      <c r="Q48" s="23"/>
      <c r="R48" s="23"/>
      <c r="S48" s="23"/>
    </row>
    <row r="49" spans="1:23" x14ac:dyDescent="0.25">
      <c r="A49" s="334"/>
      <c r="B49" s="23"/>
      <c r="C49" s="23"/>
      <c r="D49" s="23"/>
      <c r="E49" s="23"/>
      <c r="F49" s="23"/>
      <c r="G49" s="23"/>
      <c r="H49" s="23"/>
      <c r="I49" s="23"/>
      <c r="J49" s="340"/>
      <c r="K49" s="340"/>
      <c r="L49" s="340"/>
      <c r="M49" s="340"/>
      <c r="N49" s="340"/>
      <c r="O49" s="340"/>
      <c r="P49" s="340"/>
      <c r="Q49" s="340"/>
      <c r="R49" s="340"/>
      <c r="S49" s="340"/>
      <c r="T49" s="229"/>
      <c r="U49" s="229"/>
      <c r="V49" s="229"/>
      <c r="W49" s="229"/>
    </row>
    <row r="50" spans="1:23" x14ac:dyDescent="0.25">
      <c r="A50" s="339" t="s">
        <v>318</v>
      </c>
      <c r="B50" s="23"/>
      <c r="C50" s="23"/>
      <c r="D50" s="23"/>
      <c r="E50" s="23"/>
      <c r="F50" s="23"/>
      <c r="G50" s="23"/>
      <c r="H50" s="23"/>
      <c r="I50" s="23"/>
      <c r="J50" s="23"/>
      <c r="K50" s="23"/>
      <c r="L50" s="23"/>
      <c r="M50" s="23"/>
      <c r="N50" s="23"/>
      <c r="O50" s="23"/>
      <c r="P50" s="23"/>
      <c r="Q50" s="23"/>
      <c r="R50" s="23"/>
      <c r="S50" s="23"/>
    </row>
    <row r="51" spans="1:23" x14ac:dyDescent="0.25">
      <c r="A51" s="334" t="s">
        <v>319</v>
      </c>
      <c r="B51" s="23"/>
      <c r="C51" s="23"/>
      <c r="D51" s="23"/>
      <c r="E51" s="23"/>
      <c r="F51" s="23"/>
      <c r="G51" s="23"/>
      <c r="H51" s="23"/>
      <c r="I51" s="23"/>
      <c r="J51" s="23"/>
      <c r="K51" s="23"/>
      <c r="L51" s="23"/>
      <c r="M51" s="23"/>
      <c r="N51" s="23"/>
      <c r="O51" s="23"/>
      <c r="P51" s="23"/>
      <c r="Q51" s="23"/>
      <c r="R51" s="23"/>
      <c r="S51" s="23"/>
    </row>
    <row r="52" spans="1:23" x14ac:dyDescent="0.25">
      <c r="A52" s="334" t="s">
        <v>292</v>
      </c>
      <c r="B52" s="23"/>
      <c r="C52" s="23"/>
      <c r="D52" s="23"/>
      <c r="E52" s="23"/>
      <c r="F52" s="23"/>
      <c r="G52" s="23"/>
      <c r="H52" s="23"/>
      <c r="I52" s="23"/>
      <c r="J52" s="23"/>
      <c r="K52" s="23"/>
      <c r="L52" s="23"/>
      <c r="M52" s="23"/>
      <c r="N52" s="23"/>
      <c r="O52" s="23"/>
      <c r="P52" s="23"/>
      <c r="Q52" s="23"/>
      <c r="R52" s="23"/>
      <c r="S52" s="23"/>
    </row>
    <row r="53" spans="1:23" x14ac:dyDescent="0.25">
      <c r="A53" s="334" t="s">
        <v>243</v>
      </c>
      <c r="B53" s="23"/>
      <c r="C53" s="23"/>
      <c r="D53" s="23"/>
      <c r="E53" s="23"/>
      <c r="F53" s="23"/>
      <c r="G53" s="23"/>
      <c r="H53" s="23"/>
      <c r="I53" s="23"/>
      <c r="J53" s="23"/>
      <c r="K53" s="23"/>
      <c r="L53" s="23"/>
      <c r="M53" s="23"/>
      <c r="N53" s="23"/>
      <c r="O53" s="23"/>
      <c r="P53" s="23"/>
      <c r="Q53" s="23"/>
      <c r="R53" s="23"/>
      <c r="S53" s="23"/>
    </row>
    <row r="54" spans="1:23" x14ac:dyDescent="0.25">
      <c r="A54" s="334" t="s">
        <v>401</v>
      </c>
      <c r="B54" s="23"/>
      <c r="C54" s="23"/>
      <c r="D54" s="23"/>
      <c r="E54" s="23"/>
      <c r="F54" s="23"/>
      <c r="G54" s="23"/>
      <c r="H54" s="23"/>
      <c r="I54" s="23"/>
      <c r="J54" s="23"/>
      <c r="K54" s="23"/>
      <c r="L54" s="23"/>
      <c r="M54" s="23"/>
      <c r="N54" s="23"/>
      <c r="O54" s="23"/>
      <c r="P54" s="23"/>
      <c r="Q54" s="23"/>
      <c r="R54" s="23"/>
      <c r="S54" s="23"/>
    </row>
    <row r="55" spans="1:23" x14ac:dyDescent="0.25">
      <c r="A55" s="334"/>
      <c r="B55" s="23"/>
      <c r="C55" s="23"/>
      <c r="D55" s="23"/>
      <c r="E55" s="23"/>
      <c r="F55" s="23"/>
      <c r="G55" s="23"/>
      <c r="H55" s="23"/>
      <c r="I55" s="23"/>
      <c r="J55" s="23"/>
      <c r="K55" s="23"/>
      <c r="L55" s="23"/>
      <c r="M55" s="23"/>
      <c r="N55" s="23"/>
      <c r="O55" s="23"/>
      <c r="P55" s="23"/>
      <c r="Q55" s="23"/>
      <c r="R55" s="23"/>
      <c r="S55" s="23"/>
    </row>
    <row r="56" spans="1:23" x14ac:dyDescent="0.25">
      <c r="A56" s="334" t="s">
        <v>402</v>
      </c>
      <c r="B56" s="23"/>
      <c r="C56" s="23"/>
      <c r="D56" s="23"/>
      <c r="E56" s="23"/>
      <c r="F56" s="23"/>
      <c r="G56" s="23"/>
      <c r="H56" s="23"/>
      <c r="I56" s="23"/>
      <c r="J56" s="23"/>
      <c r="K56" s="23"/>
      <c r="L56" s="23"/>
      <c r="M56" s="23"/>
      <c r="N56" s="23"/>
      <c r="O56" s="23"/>
      <c r="P56" s="23"/>
      <c r="Q56" s="23"/>
      <c r="R56" s="23"/>
      <c r="S56" s="23"/>
    </row>
    <row r="57" spans="1:23" x14ac:dyDescent="0.25">
      <c r="A57" s="334" t="s">
        <v>244</v>
      </c>
      <c r="B57" s="23"/>
      <c r="C57" s="23"/>
      <c r="D57" s="23"/>
      <c r="E57" s="23"/>
      <c r="F57" s="23"/>
      <c r="G57" s="23"/>
      <c r="H57" s="23"/>
      <c r="I57" s="23"/>
      <c r="J57" s="23"/>
      <c r="K57" s="23"/>
      <c r="L57" s="23"/>
      <c r="M57" s="23"/>
      <c r="N57" s="23"/>
      <c r="O57" s="23"/>
      <c r="P57" s="23"/>
      <c r="Q57" s="23"/>
      <c r="R57" s="23"/>
      <c r="S57" s="23"/>
    </row>
    <row r="58" spans="1:23" x14ac:dyDescent="0.25">
      <c r="A58" s="334" t="s">
        <v>286</v>
      </c>
      <c r="B58" s="23"/>
      <c r="C58" s="23"/>
      <c r="D58" s="23"/>
      <c r="E58" s="23"/>
      <c r="F58" s="23"/>
      <c r="G58" s="23"/>
      <c r="H58" s="23"/>
      <c r="I58" s="23"/>
      <c r="J58" s="23"/>
      <c r="K58" s="23"/>
      <c r="L58" s="23"/>
      <c r="M58" s="23"/>
      <c r="N58" s="23"/>
      <c r="O58" s="23"/>
      <c r="P58" s="23"/>
      <c r="Q58" s="23"/>
      <c r="R58" s="23"/>
      <c r="S58" s="23"/>
    </row>
    <row r="59" spans="1:23" x14ac:dyDescent="0.25">
      <c r="A59" s="334" t="s">
        <v>245</v>
      </c>
      <c r="B59" s="23"/>
      <c r="C59" s="23"/>
      <c r="D59" s="23"/>
      <c r="E59" s="23"/>
      <c r="F59" s="23"/>
      <c r="G59" s="23"/>
      <c r="H59" s="23"/>
      <c r="I59" s="23"/>
      <c r="J59" s="23"/>
      <c r="K59" s="23"/>
      <c r="L59" s="23"/>
      <c r="M59" s="23"/>
      <c r="N59" s="23"/>
      <c r="O59" s="23"/>
      <c r="P59" s="23"/>
      <c r="Q59" s="23"/>
      <c r="R59" s="23"/>
      <c r="S59" s="23"/>
    </row>
    <row r="60" spans="1:23" x14ac:dyDescent="0.25">
      <c r="A60" s="334" t="s">
        <v>403</v>
      </c>
      <c r="B60" s="23"/>
      <c r="C60" s="23"/>
      <c r="D60" s="23"/>
      <c r="E60" s="23"/>
      <c r="F60" s="23"/>
      <c r="G60" s="23"/>
      <c r="H60" s="23"/>
      <c r="I60" s="23"/>
      <c r="J60" s="23"/>
      <c r="K60" s="23"/>
      <c r="L60" s="23"/>
      <c r="M60" s="23"/>
      <c r="N60" s="23"/>
      <c r="O60" s="23"/>
      <c r="P60" s="23"/>
      <c r="Q60" s="23"/>
      <c r="R60" s="23"/>
      <c r="S60" s="23"/>
    </row>
    <row r="61" spans="1:23" x14ac:dyDescent="0.25">
      <c r="A61" s="334" t="s">
        <v>410</v>
      </c>
      <c r="B61" s="23"/>
      <c r="C61" s="23"/>
      <c r="D61" s="23"/>
      <c r="E61" s="23"/>
      <c r="F61" s="23"/>
      <c r="G61" s="23"/>
      <c r="H61" s="23"/>
      <c r="I61" s="23"/>
      <c r="J61" s="23"/>
      <c r="K61" s="23"/>
      <c r="L61" s="23"/>
      <c r="M61" s="23"/>
      <c r="N61" s="23"/>
      <c r="O61" s="23"/>
      <c r="P61" s="23"/>
      <c r="Q61" s="23"/>
      <c r="R61" s="23"/>
      <c r="S61" s="23"/>
    </row>
    <row r="62" spans="1:23" x14ac:dyDescent="0.25">
      <c r="A62" s="334" t="s">
        <v>287</v>
      </c>
      <c r="B62" s="23"/>
      <c r="C62" s="23"/>
      <c r="D62" s="23"/>
      <c r="E62" s="23"/>
      <c r="F62" s="23"/>
      <c r="G62" s="23"/>
      <c r="H62" s="23"/>
      <c r="I62" s="23"/>
      <c r="J62" s="23"/>
      <c r="K62" s="23"/>
      <c r="L62" s="23"/>
      <c r="M62" s="23"/>
      <c r="N62" s="23"/>
      <c r="O62" s="23"/>
      <c r="P62" s="23"/>
      <c r="Q62" s="23"/>
      <c r="R62" s="23"/>
      <c r="S62" s="23"/>
    </row>
    <row r="63" spans="1:23" x14ac:dyDescent="0.25">
      <c r="A63" s="334" t="s">
        <v>404</v>
      </c>
      <c r="B63" s="23"/>
      <c r="C63" s="23"/>
      <c r="D63" s="23"/>
      <c r="E63" s="23"/>
      <c r="F63" s="23"/>
      <c r="G63" s="23"/>
      <c r="H63" s="23"/>
      <c r="I63" s="23"/>
      <c r="J63" s="23"/>
      <c r="K63" s="23"/>
      <c r="L63" s="23"/>
      <c r="M63" s="23"/>
      <c r="N63" s="23"/>
      <c r="O63" s="23"/>
      <c r="P63" s="23"/>
      <c r="Q63" s="23"/>
      <c r="R63" s="23"/>
      <c r="S63" s="23"/>
    </row>
    <row r="64" spans="1:23" x14ac:dyDescent="0.25">
      <c r="A64" s="334"/>
      <c r="B64" s="23"/>
      <c r="C64" s="23"/>
      <c r="D64" s="23"/>
      <c r="E64" s="23"/>
      <c r="F64" s="23"/>
      <c r="G64" s="23"/>
      <c r="H64" s="23"/>
      <c r="I64" s="23"/>
      <c r="J64" s="23"/>
      <c r="K64" s="23"/>
      <c r="L64" s="23"/>
      <c r="M64" s="23"/>
      <c r="N64" s="23"/>
      <c r="O64" s="23"/>
      <c r="P64" s="23"/>
      <c r="Q64" s="23"/>
      <c r="R64" s="23"/>
      <c r="S64" s="23"/>
    </row>
    <row r="65" spans="1:19" x14ac:dyDescent="0.25">
      <c r="A65" s="334" t="s">
        <v>253</v>
      </c>
      <c r="B65" s="23"/>
      <c r="C65" s="23"/>
      <c r="D65" s="23"/>
      <c r="E65" s="23"/>
      <c r="F65" s="23"/>
      <c r="G65" s="23"/>
      <c r="H65" s="23"/>
      <c r="I65" s="23"/>
      <c r="J65" s="23"/>
      <c r="K65" s="23"/>
      <c r="L65" s="23"/>
      <c r="M65" s="23"/>
      <c r="N65" s="23"/>
      <c r="O65" s="23"/>
      <c r="P65" s="23"/>
      <c r="Q65" s="23"/>
      <c r="R65" s="23"/>
      <c r="S65" s="23"/>
    </row>
    <row r="66" spans="1:19" x14ac:dyDescent="0.25">
      <c r="A66" s="334" t="s">
        <v>246</v>
      </c>
      <c r="B66" s="23"/>
      <c r="C66" s="23"/>
      <c r="D66" s="23"/>
      <c r="E66" s="23"/>
      <c r="F66" s="23"/>
      <c r="G66" s="23"/>
      <c r="H66" s="23"/>
      <c r="I66" s="23"/>
      <c r="J66" s="23"/>
      <c r="K66" s="23"/>
      <c r="L66" s="23"/>
      <c r="M66" s="23"/>
      <c r="N66" s="23"/>
      <c r="O66" s="23"/>
      <c r="P66" s="23"/>
      <c r="Q66" s="23"/>
      <c r="R66" s="23"/>
      <c r="S66" s="23"/>
    </row>
    <row r="67" spans="1:19" x14ac:dyDescent="0.25">
      <c r="A67" s="334"/>
      <c r="B67" s="23"/>
      <c r="C67" s="23"/>
      <c r="D67" s="23"/>
      <c r="E67" s="23"/>
      <c r="F67" s="23"/>
      <c r="G67" s="23"/>
      <c r="H67" s="23"/>
      <c r="I67" s="23"/>
      <c r="J67" s="23"/>
      <c r="K67" s="23"/>
      <c r="L67" s="23"/>
      <c r="M67" s="23"/>
      <c r="N67" s="23"/>
      <c r="O67" s="23"/>
      <c r="P67" s="23"/>
      <c r="Q67" s="23"/>
      <c r="R67" s="23"/>
      <c r="S67" s="23"/>
    </row>
    <row r="68" spans="1:19" x14ac:dyDescent="0.25">
      <c r="A68" s="334" t="s">
        <v>247</v>
      </c>
      <c r="B68" s="23"/>
      <c r="C68" s="23"/>
      <c r="D68" s="23"/>
      <c r="E68" s="23"/>
      <c r="F68" s="23"/>
      <c r="G68" s="23"/>
      <c r="H68" s="23"/>
      <c r="I68" s="23"/>
      <c r="J68" s="23"/>
      <c r="K68" s="23"/>
      <c r="L68" s="23"/>
      <c r="M68" s="23"/>
      <c r="N68" s="23"/>
      <c r="O68" s="23"/>
      <c r="P68" s="23"/>
      <c r="Q68" s="23"/>
      <c r="R68" s="23"/>
      <c r="S68" s="23"/>
    </row>
    <row r="69" spans="1:19" x14ac:dyDescent="0.25">
      <c r="A69" s="334" t="s">
        <v>248</v>
      </c>
      <c r="B69" s="23"/>
      <c r="C69" s="23"/>
      <c r="D69" s="23"/>
      <c r="E69" s="23"/>
      <c r="F69" s="23"/>
      <c r="G69" s="23"/>
      <c r="H69" s="23"/>
      <c r="I69" s="23"/>
      <c r="J69" s="23"/>
      <c r="K69" s="23"/>
      <c r="L69" s="23"/>
      <c r="M69" s="23"/>
      <c r="N69" s="23"/>
      <c r="O69" s="23"/>
      <c r="P69" s="23"/>
      <c r="Q69" s="23"/>
      <c r="R69" s="23"/>
      <c r="S69" s="23"/>
    </row>
    <row r="70" spans="1:19" x14ac:dyDescent="0.25">
      <c r="A70" s="334" t="s">
        <v>366</v>
      </c>
      <c r="B70" s="23"/>
      <c r="C70" s="23"/>
      <c r="D70" s="23"/>
      <c r="E70" s="23"/>
      <c r="F70" s="23"/>
      <c r="G70" s="23"/>
      <c r="H70" s="23"/>
      <c r="I70" s="23"/>
      <c r="J70" s="23"/>
      <c r="K70" s="23"/>
      <c r="L70" s="23"/>
      <c r="M70" s="23"/>
      <c r="N70" s="23"/>
      <c r="O70" s="23"/>
      <c r="P70" s="23"/>
      <c r="Q70" s="23"/>
      <c r="R70" s="23"/>
      <c r="S70" s="23"/>
    </row>
    <row r="71" spans="1:19" x14ac:dyDescent="0.25">
      <c r="A71" s="333" t="s">
        <v>369</v>
      </c>
      <c r="B71" s="23"/>
      <c r="C71" s="23"/>
      <c r="D71" s="23"/>
      <c r="E71" s="23"/>
      <c r="F71" s="23"/>
      <c r="G71" s="23"/>
      <c r="H71" s="23"/>
      <c r="I71" s="23"/>
      <c r="J71" s="23"/>
      <c r="K71" s="23"/>
      <c r="L71" s="23"/>
      <c r="M71" s="23"/>
      <c r="N71" s="23"/>
      <c r="O71" s="23"/>
      <c r="P71" s="23"/>
      <c r="Q71" s="23"/>
      <c r="R71" s="23"/>
      <c r="S71" s="23"/>
    </row>
    <row r="72" spans="1:19" x14ac:dyDescent="0.25">
      <c r="A72" s="333" t="s">
        <v>367</v>
      </c>
      <c r="B72" s="23"/>
      <c r="C72" s="23"/>
      <c r="D72" s="23"/>
      <c r="E72" s="23"/>
      <c r="F72" s="23"/>
      <c r="G72" s="23"/>
      <c r="H72" s="23"/>
      <c r="I72" s="23"/>
      <c r="J72" s="23"/>
      <c r="K72" s="23"/>
      <c r="L72" s="23"/>
      <c r="M72" s="23"/>
      <c r="N72" s="23"/>
      <c r="O72" s="23"/>
      <c r="P72" s="23"/>
      <c r="Q72" s="23"/>
      <c r="R72" s="23"/>
      <c r="S72" s="23"/>
    </row>
    <row r="73" spans="1:19" x14ac:dyDescent="0.25">
      <c r="A73" s="334"/>
      <c r="B73" s="23"/>
      <c r="C73" s="23"/>
      <c r="D73" s="23"/>
      <c r="E73" s="23"/>
      <c r="F73" s="23"/>
      <c r="G73" s="23"/>
      <c r="H73" s="23"/>
      <c r="I73" s="23"/>
      <c r="J73" s="23"/>
      <c r="K73" s="23"/>
      <c r="L73" s="23"/>
      <c r="M73" s="23"/>
      <c r="N73" s="23"/>
      <c r="O73" s="23"/>
      <c r="P73" s="23"/>
      <c r="Q73" s="23"/>
      <c r="R73" s="23"/>
      <c r="S73" s="23"/>
    </row>
    <row r="74" spans="1:19" x14ac:dyDescent="0.25">
      <c r="A74" s="334" t="s">
        <v>405</v>
      </c>
      <c r="B74" s="23"/>
      <c r="C74" s="23"/>
      <c r="D74" s="23"/>
      <c r="E74" s="23"/>
      <c r="F74" s="23"/>
      <c r="G74" s="23"/>
      <c r="H74" s="23"/>
      <c r="I74" s="23"/>
      <c r="J74" s="23"/>
      <c r="K74" s="23"/>
      <c r="L74" s="23"/>
      <c r="M74" s="23"/>
      <c r="N74" s="23"/>
      <c r="O74" s="23"/>
      <c r="P74" s="23"/>
      <c r="Q74" s="23"/>
      <c r="R74" s="23"/>
      <c r="S74" s="23"/>
    </row>
    <row r="75" spans="1:19" x14ac:dyDescent="0.25">
      <c r="A75" s="334"/>
      <c r="B75" s="23"/>
      <c r="C75" s="23"/>
      <c r="D75" s="23"/>
      <c r="E75" s="23"/>
      <c r="F75" s="23"/>
      <c r="G75" s="23"/>
      <c r="H75" s="23"/>
      <c r="I75" s="23"/>
      <c r="J75" s="23"/>
      <c r="K75" s="23"/>
      <c r="L75" s="23"/>
      <c r="M75" s="23"/>
      <c r="N75" s="23"/>
      <c r="O75" s="23"/>
      <c r="P75" s="23"/>
      <c r="Q75" s="23"/>
      <c r="R75" s="23"/>
      <c r="S75" s="23"/>
    </row>
    <row r="76" spans="1:19" x14ac:dyDescent="0.25">
      <c r="A76" s="339" t="s">
        <v>320</v>
      </c>
      <c r="B76" s="23"/>
      <c r="C76" s="23"/>
      <c r="D76" s="23"/>
      <c r="E76" s="23"/>
      <c r="F76" s="23"/>
      <c r="G76" s="23"/>
      <c r="H76" s="23"/>
      <c r="I76" s="23"/>
      <c r="J76" s="23"/>
      <c r="K76" s="23"/>
      <c r="L76" s="23"/>
      <c r="M76" s="23"/>
      <c r="N76" s="23"/>
      <c r="O76" s="23"/>
      <c r="P76" s="23"/>
      <c r="Q76" s="23"/>
      <c r="R76" s="23"/>
      <c r="S76" s="23"/>
    </row>
    <row r="77" spans="1:19" x14ac:dyDescent="0.25">
      <c r="A77" s="334" t="s">
        <v>406</v>
      </c>
      <c r="B77" s="23"/>
      <c r="C77" s="23"/>
      <c r="D77" s="23"/>
      <c r="E77" s="23"/>
      <c r="F77" s="23"/>
      <c r="G77" s="23"/>
      <c r="H77" s="23"/>
      <c r="I77" s="23"/>
      <c r="J77" s="23"/>
      <c r="K77" s="23"/>
      <c r="L77" s="23"/>
      <c r="M77" s="23"/>
      <c r="N77" s="23"/>
      <c r="O77" s="23"/>
      <c r="P77" s="23"/>
      <c r="Q77" s="23"/>
      <c r="R77" s="23"/>
      <c r="S77" s="23"/>
    </row>
    <row r="78" spans="1:19" x14ac:dyDescent="0.25">
      <c r="A78" s="334"/>
      <c r="B78" s="23"/>
      <c r="C78" s="23"/>
      <c r="D78" s="23"/>
      <c r="E78" s="23"/>
      <c r="F78" s="23"/>
      <c r="G78" s="23"/>
      <c r="H78" s="23"/>
      <c r="I78" s="23"/>
      <c r="J78" s="23"/>
      <c r="K78" s="23"/>
      <c r="L78" s="23"/>
      <c r="M78" s="23"/>
      <c r="N78" s="23"/>
      <c r="O78" s="23"/>
      <c r="P78" s="23"/>
      <c r="Q78" s="23"/>
      <c r="R78" s="23"/>
      <c r="S78" s="23"/>
    </row>
    <row r="79" spans="1:19" x14ac:dyDescent="0.25">
      <c r="A79" s="335" t="s">
        <v>365</v>
      </c>
      <c r="B79" s="23"/>
      <c r="C79" s="23"/>
      <c r="D79" s="23"/>
      <c r="E79" s="23"/>
      <c r="F79" s="23"/>
      <c r="G79" s="23"/>
      <c r="H79" s="23"/>
      <c r="I79" s="23"/>
      <c r="J79" s="23"/>
      <c r="K79" s="23"/>
      <c r="L79" s="23"/>
      <c r="M79" s="23"/>
      <c r="N79" s="23"/>
      <c r="O79" s="23"/>
      <c r="P79" s="23"/>
      <c r="Q79" s="23"/>
      <c r="R79" s="23"/>
      <c r="S79" s="23"/>
    </row>
    <row r="80" spans="1:19" x14ac:dyDescent="0.25">
      <c r="A80" s="334"/>
      <c r="B80" s="23"/>
      <c r="C80" s="23"/>
      <c r="D80" s="23"/>
      <c r="E80" s="23"/>
      <c r="F80" s="23"/>
      <c r="G80" s="23"/>
      <c r="H80" s="23"/>
      <c r="I80" s="23"/>
      <c r="J80" s="23"/>
      <c r="K80" s="23"/>
      <c r="L80" s="23"/>
      <c r="M80" s="23"/>
      <c r="N80" s="23"/>
      <c r="O80" s="23"/>
      <c r="P80" s="23"/>
      <c r="Q80" s="23"/>
      <c r="R80" s="23"/>
      <c r="S80" s="23"/>
    </row>
    <row r="81" spans="1:19" x14ac:dyDescent="0.25">
      <c r="A81" s="334" t="s">
        <v>377</v>
      </c>
      <c r="B81" s="23"/>
      <c r="C81" s="23"/>
      <c r="D81" s="23"/>
      <c r="E81" s="23"/>
      <c r="F81" s="23"/>
      <c r="G81" s="23"/>
      <c r="H81" s="23"/>
      <c r="I81" s="23"/>
      <c r="J81" s="23"/>
      <c r="K81" s="23"/>
      <c r="L81" s="23"/>
      <c r="M81" s="23"/>
      <c r="N81" s="23"/>
      <c r="O81" s="23"/>
      <c r="P81" s="23"/>
      <c r="Q81" s="23"/>
      <c r="R81" s="23"/>
      <c r="S81" s="23"/>
    </row>
    <row r="82" spans="1:19" x14ac:dyDescent="0.25">
      <c r="A82" s="334" t="s">
        <v>293</v>
      </c>
      <c r="B82" s="23"/>
      <c r="C82" s="23"/>
      <c r="D82" s="23"/>
      <c r="E82" s="23"/>
      <c r="F82" s="23"/>
      <c r="G82" s="23"/>
      <c r="H82" s="23"/>
      <c r="I82" s="23"/>
      <c r="J82" s="23"/>
      <c r="K82" s="23"/>
      <c r="L82" s="23"/>
      <c r="M82" s="23"/>
      <c r="N82" s="23"/>
      <c r="O82" s="23"/>
      <c r="P82" s="23"/>
      <c r="Q82" s="23"/>
      <c r="R82" s="23"/>
      <c r="S82" s="23"/>
    </row>
    <row r="83" spans="1:19" x14ac:dyDescent="0.25">
      <c r="A83" s="334"/>
      <c r="B83" s="23"/>
      <c r="C83" s="23"/>
      <c r="D83" s="23"/>
      <c r="E83" s="23"/>
      <c r="F83" s="23"/>
      <c r="G83" s="23"/>
      <c r="H83" s="23"/>
      <c r="I83" s="23"/>
      <c r="J83" s="23"/>
      <c r="K83" s="23"/>
      <c r="L83" s="23"/>
      <c r="M83" s="23"/>
      <c r="N83" s="23"/>
      <c r="O83" s="23"/>
      <c r="P83" s="23"/>
      <c r="Q83" s="23"/>
      <c r="R83" s="23"/>
      <c r="S83" s="23"/>
    </row>
    <row r="84" spans="1:19" x14ac:dyDescent="0.25">
      <c r="A84" s="334" t="s">
        <v>407</v>
      </c>
      <c r="B84" s="23"/>
      <c r="C84" s="23"/>
      <c r="D84" s="23"/>
      <c r="E84" s="23"/>
      <c r="F84" s="23"/>
      <c r="G84" s="23"/>
      <c r="H84" s="23"/>
      <c r="I84" s="23"/>
      <c r="J84" s="23"/>
      <c r="K84" s="23"/>
      <c r="L84" s="23"/>
      <c r="M84" s="23"/>
      <c r="N84" s="23"/>
      <c r="O84" s="23"/>
      <c r="P84" s="23"/>
      <c r="Q84" s="23"/>
      <c r="R84" s="23"/>
      <c r="S84" s="23"/>
    </row>
    <row r="85" spans="1:19" x14ac:dyDescent="0.25">
      <c r="A85" s="334"/>
      <c r="B85" s="23"/>
      <c r="C85" s="23"/>
      <c r="D85" s="23"/>
      <c r="E85" s="23"/>
      <c r="F85" s="23"/>
      <c r="G85" s="23"/>
      <c r="H85" s="23"/>
      <c r="I85" s="23"/>
      <c r="J85" s="23"/>
      <c r="K85" s="23"/>
      <c r="L85" s="23"/>
      <c r="M85" s="23"/>
      <c r="N85" s="23"/>
      <c r="O85" s="23"/>
      <c r="P85" s="23"/>
      <c r="Q85" s="23"/>
      <c r="R85" s="23"/>
      <c r="S85" s="23"/>
    </row>
    <row r="86" spans="1:19" x14ac:dyDescent="0.25">
      <c r="A86" s="334" t="s">
        <v>311</v>
      </c>
      <c r="B86" s="23"/>
      <c r="C86" s="23"/>
      <c r="D86" s="23"/>
      <c r="E86" s="23"/>
      <c r="F86" s="23"/>
      <c r="G86" s="23"/>
      <c r="H86" s="23"/>
      <c r="I86" s="23"/>
      <c r="J86" s="23"/>
      <c r="K86" s="23"/>
      <c r="L86" s="23"/>
      <c r="M86" s="23"/>
      <c r="N86" s="23"/>
      <c r="O86" s="23"/>
      <c r="P86" s="23"/>
      <c r="Q86" s="23"/>
      <c r="R86" s="23"/>
      <c r="S86" s="23"/>
    </row>
    <row r="87" spans="1:19" x14ac:dyDescent="0.25">
      <c r="A87" s="334" t="s">
        <v>408</v>
      </c>
      <c r="B87" s="23"/>
      <c r="C87" s="23"/>
      <c r="D87" s="23"/>
      <c r="E87" s="23"/>
      <c r="F87" s="23"/>
      <c r="G87" s="23"/>
      <c r="H87" s="23"/>
      <c r="I87" s="23"/>
      <c r="J87" s="23"/>
      <c r="K87" s="23"/>
      <c r="L87" s="23"/>
      <c r="M87" s="23"/>
      <c r="N87" s="23"/>
      <c r="O87" s="23"/>
      <c r="P87" s="23"/>
      <c r="Q87" s="23"/>
      <c r="R87" s="23"/>
      <c r="S87" s="23"/>
    </row>
    <row r="88" spans="1:19" x14ac:dyDescent="0.25">
      <c r="A88" s="334"/>
      <c r="B88" s="23"/>
      <c r="C88" s="23"/>
      <c r="D88" s="23"/>
      <c r="E88" s="23"/>
      <c r="F88" s="23"/>
      <c r="G88" s="23"/>
      <c r="H88" s="23"/>
      <c r="I88" s="23"/>
      <c r="J88" s="23"/>
      <c r="K88" s="23"/>
      <c r="L88" s="23"/>
      <c r="M88" s="23"/>
      <c r="N88" s="23"/>
      <c r="O88" s="23"/>
      <c r="P88" s="23"/>
      <c r="Q88" s="23"/>
      <c r="R88" s="23"/>
      <c r="S88" s="23"/>
    </row>
    <row r="89" spans="1:19" x14ac:dyDescent="0.25">
      <c r="A89" s="334"/>
      <c r="B89" s="23"/>
      <c r="C89" s="23"/>
      <c r="D89" s="23"/>
      <c r="E89" s="23"/>
      <c r="F89" s="23"/>
      <c r="G89" s="23"/>
      <c r="H89" s="23"/>
      <c r="I89" s="23"/>
      <c r="J89" s="23"/>
      <c r="K89" s="23"/>
      <c r="L89" s="23"/>
      <c r="M89" s="23"/>
      <c r="N89" s="23"/>
      <c r="O89" s="23"/>
      <c r="P89" s="23"/>
      <c r="Q89" s="23"/>
      <c r="R89" s="23"/>
      <c r="S89" s="23"/>
    </row>
    <row r="90" spans="1:19" x14ac:dyDescent="0.25">
      <c r="A90" s="334"/>
      <c r="B90" s="23"/>
      <c r="C90" s="23"/>
      <c r="D90" s="23"/>
      <c r="E90" s="23"/>
      <c r="F90" s="23"/>
      <c r="G90" s="23"/>
      <c r="H90" s="23"/>
      <c r="I90" s="23"/>
      <c r="J90" s="23"/>
      <c r="K90" s="23"/>
      <c r="L90" s="23"/>
      <c r="M90" s="23"/>
      <c r="N90" s="23"/>
      <c r="O90" s="23"/>
      <c r="P90" s="23"/>
      <c r="Q90" s="23"/>
      <c r="R90" s="23"/>
      <c r="S90" s="23"/>
    </row>
    <row r="91" spans="1:19" x14ac:dyDescent="0.25">
      <c r="A91" s="334"/>
      <c r="B91" s="23"/>
      <c r="C91" s="23"/>
      <c r="D91" s="23"/>
      <c r="E91" s="23"/>
      <c r="F91" s="23"/>
      <c r="G91" s="23"/>
      <c r="H91" s="23"/>
      <c r="I91" s="23"/>
      <c r="J91" s="23"/>
      <c r="K91" s="23"/>
      <c r="L91" s="23"/>
      <c r="M91" s="23"/>
      <c r="N91" s="23"/>
      <c r="O91" s="23"/>
      <c r="P91" s="23"/>
      <c r="Q91" s="23"/>
      <c r="R91" s="23"/>
      <c r="S91" s="23"/>
    </row>
    <row r="92" spans="1:19" x14ac:dyDescent="0.25">
      <c r="A92" s="334"/>
      <c r="B92" s="23"/>
      <c r="C92" s="23"/>
      <c r="D92" s="23"/>
      <c r="E92" s="23"/>
      <c r="F92" s="23"/>
      <c r="G92" s="23"/>
      <c r="H92" s="23"/>
      <c r="I92" s="23"/>
      <c r="J92" s="23"/>
      <c r="K92" s="23"/>
      <c r="L92" s="23"/>
      <c r="M92" s="23"/>
      <c r="N92" s="23"/>
      <c r="O92" s="23"/>
      <c r="P92" s="23"/>
      <c r="Q92" s="23"/>
      <c r="R92" s="23"/>
      <c r="S92" s="23"/>
    </row>
    <row r="93" spans="1:19" x14ac:dyDescent="0.25">
      <c r="A93" s="334"/>
      <c r="B93" s="23"/>
      <c r="C93" s="23"/>
      <c r="D93" s="23"/>
      <c r="E93" s="23"/>
      <c r="F93" s="23"/>
      <c r="G93" s="23"/>
      <c r="H93" s="23"/>
      <c r="I93" s="23"/>
      <c r="J93" s="23"/>
      <c r="K93" s="23"/>
      <c r="L93" s="23"/>
      <c r="M93" s="23"/>
      <c r="N93" s="23"/>
      <c r="O93" s="23"/>
      <c r="P93" s="23"/>
      <c r="Q93" s="23"/>
      <c r="R93" s="23"/>
      <c r="S93" s="23"/>
    </row>
    <row r="94" spans="1:19" x14ac:dyDescent="0.25">
      <c r="A94" s="334"/>
      <c r="B94" s="23"/>
      <c r="C94" s="23"/>
      <c r="D94" s="23"/>
      <c r="E94" s="23"/>
      <c r="F94" s="23"/>
      <c r="G94" s="23"/>
      <c r="H94" s="23"/>
      <c r="I94" s="23"/>
      <c r="J94" s="23"/>
      <c r="K94" s="23"/>
      <c r="L94" s="23"/>
      <c r="M94" s="23"/>
      <c r="N94" s="23"/>
      <c r="O94" s="23"/>
      <c r="P94" s="23"/>
      <c r="Q94" s="23"/>
      <c r="R94" s="23"/>
      <c r="S94" s="23"/>
    </row>
    <row r="95" spans="1:19" x14ac:dyDescent="0.25">
      <c r="A95" s="334"/>
      <c r="B95" s="23"/>
      <c r="C95" s="23"/>
      <c r="D95" s="23"/>
      <c r="E95" s="23"/>
      <c r="F95" s="23"/>
      <c r="G95" s="23"/>
      <c r="H95" s="23"/>
      <c r="I95" s="23"/>
      <c r="J95" s="23"/>
      <c r="K95" s="23"/>
      <c r="L95" s="23"/>
      <c r="M95" s="23"/>
      <c r="N95" s="23"/>
      <c r="O95" s="23"/>
      <c r="P95" s="23"/>
      <c r="Q95" s="23"/>
      <c r="R95" s="23"/>
      <c r="S95" s="23"/>
    </row>
    <row r="96" spans="1:19" x14ac:dyDescent="0.25">
      <c r="A96" s="334"/>
      <c r="B96" s="23"/>
      <c r="C96" s="23"/>
      <c r="D96" s="23"/>
      <c r="E96" s="23"/>
      <c r="F96" s="23"/>
      <c r="G96" s="23"/>
      <c r="H96" s="23"/>
      <c r="I96" s="23"/>
      <c r="J96" s="23"/>
      <c r="K96" s="23"/>
      <c r="L96" s="23"/>
      <c r="M96" s="23"/>
      <c r="N96" s="23"/>
      <c r="O96" s="23"/>
      <c r="P96" s="23"/>
      <c r="Q96" s="23"/>
      <c r="R96" s="23"/>
      <c r="S96" s="23"/>
    </row>
  </sheetData>
  <sheetProtection algorithmName="SHA-512" hashValue="PZmjCJd1MsG9SH/V1JS2spW4gRvJ0c8X5ChXIoK5GOGBkxl8D8J0Y8FpT97eBIjsA2neI0AqBvItTb+vzIodYw==" saltValue="vXMV2J2aQUzYZUCyVMK1NQ==" spinCount="100000" sheet="1" objects="1" scenarios="1"/>
  <pageMargins left="0.23622047244094491" right="0.23622047244094491" top="0" bottom="0.35433070866141736" header="0.19685039370078741" footer="0.19685039370078741"/>
  <pageSetup paperSize="9" scale="40"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37" hidden="1" customWidth="1"/>
    <col min="7" max="7" width="12.5703125" style="37" hidden="1" customWidth="1"/>
    <col min="8" max="8" width="21.140625" style="37" hidden="1" customWidth="1"/>
    <col min="9" max="9" width="5.85546875" style="37" hidden="1" customWidth="1"/>
    <col min="10" max="10" width="13.42578125" style="37" hidden="1" customWidth="1"/>
    <col min="11" max="11" width="9.85546875" style="37" hidden="1" customWidth="1"/>
    <col min="12" max="12" width="13.7109375" style="37" hidden="1" customWidth="1"/>
    <col min="13" max="16383" width="9.140625" style="37" hidden="1"/>
    <col min="16384" max="16384" width="40.85546875" style="37" hidden="1" customWidth="1"/>
  </cols>
  <sheetData>
    <row r="1" spans="2:4" ht="15" customHeight="1" x14ac:dyDescent="0.25">
      <c r="B1" s="36"/>
      <c r="C1" s="129" t="str">
        <f>IF($C$2="","Kies hieronder openstelling:","")</f>
        <v>Kies hieronder openstelling:</v>
      </c>
      <c r="D1" s="36"/>
    </row>
    <row r="2" spans="2:4" ht="28.5" customHeight="1" x14ac:dyDescent="0.25">
      <c r="B2" s="24" t="s">
        <v>77</v>
      </c>
      <c r="C2" s="341"/>
      <c r="D2" s="342"/>
    </row>
    <row r="3" spans="2:4" ht="15" customHeight="1" x14ac:dyDescent="0.25">
      <c r="B3" s="24" t="s">
        <v>16</v>
      </c>
      <c r="C3" s="345"/>
      <c r="D3" s="345"/>
    </row>
    <row r="4" spans="2:4" ht="15" customHeight="1" x14ac:dyDescent="0.25">
      <c r="B4" s="24" t="s">
        <v>17</v>
      </c>
      <c r="C4" s="345"/>
      <c r="D4" s="345"/>
    </row>
    <row r="5" spans="2:4" ht="15" customHeight="1" x14ac:dyDescent="0.25">
      <c r="B5" s="24" t="s">
        <v>18</v>
      </c>
      <c r="C5" s="345"/>
      <c r="D5" s="345"/>
    </row>
    <row r="6" spans="2:4" ht="15" customHeight="1" x14ac:dyDescent="0.25">
      <c r="B6" s="6"/>
      <c r="C6" s="346"/>
      <c r="D6" s="346"/>
    </row>
    <row r="7" spans="2:4" ht="15" customHeight="1" x14ac:dyDescent="0.25">
      <c r="B7" s="7"/>
      <c r="C7" s="25" t="str">
        <f>IF($C$8="","Kies hieronder methode:","")</f>
        <v>Kies hieronder methode:</v>
      </c>
      <c r="D7" s="7"/>
    </row>
    <row r="8" spans="2:4" ht="15" customHeight="1" x14ac:dyDescent="0.25">
      <c r="B8" s="26" t="s">
        <v>19</v>
      </c>
      <c r="C8" s="343"/>
      <c r="D8" s="344"/>
    </row>
    <row r="9" spans="2:4" ht="15" customHeight="1" x14ac:dyDescent="0.25">
      <c r="B9" s="8"/>
      <c r="C9" s="8"/>
      <c r="D9" s="27"/>
    </row>
    <row r="20" spans="2:6" s="38" customFormat="1" ht="15" hidden="1" customHeight="1" x14ac:dyDescent="0.25">
      <c r="B20" s="37"/>
      <c r="C20" s="37"/>
      <c r="D20" s="37"/>
    </row>
    <row r="21" spans="2:6" s="38" customFormat="1" ht="15" hidden="1" customHeight="1" x14ac:dyDescent="0.25">
      <c r="B21" s="37"/>
      <c r="C21" s="37"/>
      <c r="D21" s="37"/>
    </row>
    <row r="22" spans="2:6" s="38" customFormat="1" ht="15" hidden="1" customHeight="1" x14ac:dyDescent="0.25">
      <c r="B22" s="37"/>
      <c r="C22" s="37"/>
      <c r="D22" s="37"/>
    </row>
    <row r="24" spans="2:6" s="38" customFormat="1" ht="15" hidden="1" customHeight="1" x14ac:dyDescent="0.25">
      <c r="B24" s="37"/>
      <c r="C24" s="37"/>
      <c r="D24" s="37"/>
    </row>
    <row r="26" spans="2:6" s="38" customFormat="1" ht="15" hidden="1" customHeight="1" x14ac:dyDescent="0.25">
      <c r="B26" s="37"/>
      <c r="C26" s="37"/>
      <c r="D26" s="37"/>
    </row>
    <row r="27" spans="2:6" s="38" customFormat="1" ht="15" hidden="1" customHeight="1" x14ac:dyDescent="0.25">
      <c r="B27" s="37"/>
      <c r="C27" s="37"/>
      <c r="D27" s="37"/>
    </row>
    <row r="28" spans="2:6" s="38" customFormat="1" ht="15" hidden="1" customHeight="1" x14ac:dyDescent="0.25">
      <c r="B28" s="37"/>
      <c r="C28" s="37"/>
      <c r="D28" s="37"/>
    </row>
    <row r="29" spans="2:6" s="38" customFormat="1" ht="15" hidden="1" customHeight="1" x14ac:dyDescent="0.25">
      <c r="B29" s="37"/>
      <c r="C29" s="37"/>
      <c r="D29" s="37"/>
    </row>
    <row r="31" spans="2:6" s="39" customFormat="1" ht="15" hidden="1" customHeight="1" x14ac:dyDescent="0.25">
      <c r="B31" s="37"/>
      <c r="C31" s="37"/>
      <c r="D31" s="37"/>
      <c r="F31" s="65"/>
    </row>
    <row r="40" ht="47.45" hidden="1" customHeight="1" x14ac:dyDescent="0.2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31496062992125984" right="0.31496062992125984" top="0.74803149606299213" bottom="0.74803149606299213" header="0.31496062992125984" footer="0.31496062992125984"/>
  <pageSetup paperSize="9" orientation="landscape" r:id="rId1"/>
  <headerFooter>
    <oddFooter>&amp;L&amp;F &amp;A&amp;R&amp;P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customHeight="1" x14ac:dyDescent="0.25"/>
  <cols>
    <col min="1" max="1" width="5.7109375" style="40" customWidth="1"/>
    <col min="2" max="2" width="37.85546875" style="37" customWidth="1"/>
    <col min="3" max="4" width="20.7109375" style="37" customWidth="1"/>
    <col min="5" max="5" width="21.140625" style="37" bestFit="1" customWidth="1"/>
    <col min="6" max="8" width="20.7109375" style="37" customWidth="1"/>
    <col min="9" max="16384" width="9.140625" style="37"/>
  </cols>
  <sheetData>
    <row r="1" spans="1:8" ht="15" customHeight="1" x14ac:dyDescent="0.25">
      <c r="A1" s="154"/>
      <c r="B1" s="12" t="s">
        <v>25</v>
      </c>
      <c r="C1" s="12"/>
      <c r="D1" s="12"/>
      <c r="E1" s="12"/>
      <c r="F1" s="12"/>
      <c r="G1" s="12"/>
      <c r="H1" s="12"/>
    </row>
    <row r="2" spans="1:8" ht="15" customHeight="1" x14ac:dyDescent="0.25">
      <c r="A2" s="156"/>
      <c r="B2" s="161" t="s">
        <v>20</v>
      </c>
      <c r="C2" s="325" t="str">
        <f>IF(OR('1. Aanvraaggegevens'!C8="",'1. Aanvraaggegevens'!C8=0),"Kies een berekeningsmethode op tabblad '1. Aanvraaggegevens'",'1. Aanvraaggegevens'!C8)</f>
        <v>Kies een berekeningsmethode op tabblad '1. Aanvraaggegevens'</v>
      </c>
      <c r="D2" s="164"/>
      <c r="E2" s="161"/>
      <c r="F2" s="161"/>
      <c r="G2" s="161"/>
      <c r="H2" s="161"/>
    </row>
    <row r="3" spans="1:8" ht="30" x14ac:dyDescent="0.25">
      <c r="A3" s="153" t="s">
        <v>148</v>
      </c>
      <c r="B3" s="153" t="s">
        <v>30</v>
      </c>
      <c r="C3" s="153" t="s">
        <v>9</v>
      </c>
      <c r="D3" s="153" t="s">
        <v>10</v>
      </c>
      <c r="E3" s="153" t="s">
        <v>83</v>
      </c>
      <c r="F3" s="153" t="s">
        <v>58</v>
      </c>
      <c r="G3" s="153" t="s">
        <v>61</v>
      </c>
      <c r="H3" s="153" t="s">
        <v>84</v>
      </c>
    </row>
    <row r="4" spans="1:8" ht="15" customHeight="1" x14ac:dyDescent="0.25">
      <c r="A4" s="166">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25">
      <c r="A5" s="166">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25">
      <c r="A6" s="166">
        <v>3</v>
      </c>
      <c r="B6" s="72"/>
      <c r="C6" s="28"/>
      <c r="D6" s="28"/>
      <c r="E6" s="19" t="str">
        <f>IF(OR($B6="",$B6="&lt;Vul in&gt;"),"",SUMIF('5. Kosten uitvoering project'!$B$6:$R$105,B6,'5. Kosten uitvoering project'!$P$6:$P$105))</f>
        <v/>
      </c>
      <c r="F6" s="13" t="str">
        <f t="shared" si="0"/>
        <v/>
      </c>
      <c r="G6" s="35"/>
      <c r="H6" s="14" t="str">
        <f t="shared" si="1"/>
        <v/>
      </c>
    </row>
    <row r="7" spans="1:8" ht="15" customHeight="1" x14ac:dyDescent="0.25">
      <c r="A7" s="166">
        <v>4</v>
      </c>
      <c r="B7" s="72"/>
      <c r="C7" s="28"/>
      <c r="D7" s="28"/>
      <c r="E7" s="19" t="str">
        <f>IF(OR($B7="",$B7="&lt;Vul in&gt;"),"",SUMIF('5. Kosten uitvoering project'!$B$6:$R$105,B7,'5. Kosten uitvoering project'!$P$6:$P$105))</f>
        <v/>
      </c>
      <c r="F7" s="13" t="str">
        <f t="shared" si="0"/>
        <v/>
      </c>
      <c r="G7" s="35"/>
      <c r="H7" s="14" t="str">
        <f t="shared" si="1"/>
        <v/>
      </c>
    </row>
    <row r="8" spans="1:8" ht="15" customHeight="1" x14ac:dyDescent="0.25">
      <c r="A8" s="166">
        <v>5</v>
      </c>
      <c r="B8" s="72"/>
      <c r="C8" s="28"/>
      <c r="D8" s="28"/>
      <c r="E8" s="19" t="str">
        <f>IF(OR($B8="",$B8="&lt;Vul in&gt;"),"",SUMIF('5. Kosten uitvoering project'!$B$6:$R$105,B8,'5. Kosten uitvoering project'!$P$6:$P$105))</f>
        <v/>
      </c>
      <c r="F8" s="13" t="str">
        <f t="shared" si="0"/>
        <v/>
      </c>
      <c r="G8" s="35"/>
      <c r="H8" s="14" t="str">
        <f t="shared" si="1"/>
        <v/>
      </c>
    </row>
    <row r="9" spans="1:8" ht="15" customHeight="1" x14ac:dyDescent="0.25">
      <c r="A9" s="166">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25">
      <c r="A10" s="166">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25">
      <c r="A11" s="166">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25">
      <c r="A12" s="166">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25">
      <c r="A13" s="166">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25">
      <c r="A14" s="166">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25">
      <c r="A15" s="166">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25">
      <c r="A16" s="166">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25">
      <c r="A17" s="166">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25">
      <c r="A18" s="166">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25">
      <c r="A19" s="166">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25">
      <c r="A20" s="166">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25">
      <c r="A21" s="166">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25">
      <c r="A22" s="166">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25">
      <c r="A23" s="166">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25">
      <c r="A24" s="166">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25">
      <c r="A25" s="166">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25">
      <c r="A26" s="166">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25">
      <c r="A27" s="166">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25">
      <c r="A28" s="166">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25">
      <c r="A29" s="166">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25">
      <c r="A30" s="166">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25">
      <c r="A31" s="166">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25">
      <c r="A32" s="166">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25">
      <c r="A33" s="166">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25">
      <c r="A34" s="41"/>
      <c r="B34" s="12" t="s">
        <v>31</v>
      </c>
      <c r="C34" s="12"/>
      <c r="D34" s="12"/>
      <c r="E34" s="15">
        <f>SUM(E4:E33)</f>
        <v>0</v>
      </c>
      <c r="F34" s="16">
        <f>SUM(F4:F33)</f>
        <v>0</v>
      </c>
      <c r="G34" s="20"/>
      <c r="H34" s="15"/>
    </row>
    <row r="35" spans="1:8" ht="15" customHeight="1" x14ac:dyDescent="0.25">
      <c r="A35" s="42"/>
      <c r="B35" s="411" t="str">
        <f>IF(E35&lt;&gt;"","Kosten nog toe te kennen aan een projectdeelnemer","")</f>
        <v/>
      </c>
      <c r="C35" s="12"/>
      <c r="D35" s="15"/>
      <c r="E35" s="412" t="str">
        <f>IF(E37-E34-IF(E36&lt;&gt;"",E36,0)&lt;&gt;0,E37-E34-IF(E36&lt;&gt;"",E36,0),"")</f>
        <v/>
      </c>
      <c r="F35" s="15"/>
      <c r="G35" s="15"/>
      <c r="H35" s="15"/>
    </row>
    <row r="36" spans="1:8" ht="15" customHeight="1" x14ac:dyDescent="0.25">
      <c r="A36" s="42"/>
      <c r="B36" s="12" t="str">
        <f>IF(E36&lt;&gt;"","Forfait op basis van opgegeven kosten","")</f>
        <v/>
      </c>
      <c r="C36" s="12"/>
      <c r="D36" s="15"/>
      <c r="E36" s="15" t="str">
        <f>IF(Forfait_Aanvraag&lt;&gt;0,Forfait_Aanvraag,"")</f>
        <v/>
      </c>
      <c r="F36" s="15"/>
      <c r="G36" s="15"/>
      <c r="H36" s="15"/>
    </row>
    <row r="37" spans="1:8" ht="15" customHeight="1" x14ac:dyDescent="0.25">
      <c r="A37" s="43"/>
      <c r="B37" s="12" t="s">
        <v>88</v>
      </c>
      <c r="C37" s="12"/>
      <c r="D37" s="12"/>
      <c r="E37" s="15">
        <f>Totaal_Project</f>
        <v>0</v>
      </c>
      <c r="F37" s="12"/>
      <c r="G37" s="15"/>
      <c r="H37" s="12"/>
    </row>
    <row r="38" spans="1:8" ht="15" customHeight="1" x14ac:dyDescent="0.25">
      <c r="A38" s="43"/>
      <c r="B38" s="12"/>
      <c r="C38" s="12"/>
      <c r="D38" s="12"/>
      <c r="E38" s="15"/>
      <c r="F38" s="12"/>
      <c r="G38" s="15"/>
      <c r="H38" s="12"/>
    </row>
    <row r="39" spans="1:8" ht="15" customHeight="1" x14ac:dyDescent="0.25">
      <c r="A39" s="43"/>
      <c r="B39" s="12" t="s">
        <v>32</v>
      </c>
      <c r="C39" s="12"/>
      <c r="D39" s="12"/>
      <c r="E39" s="15"/>
      <c r="F39" s="12"/>
      <c r="G39" s="20">
        <f>SUM(G4:G33)</f>
        <v>0</v>
      </c>
      <c r="H39" s="15">
        <f>SUM(H4:H33)</f>
        <v>0</v>
      </c>
    </row>
    <row r="40" spans="1:8" ht="15" customHeight="1" x14ac:dyDescent="0.2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120" priority="1" operator="equal">
      <formula>""</formula>
    </cfRule>
  </conditionalFormatting>
  <conditionalFormatting sqref="B34:E34">
    <cfRule type="expression" dxfId="119" priority="6">
      <formula>$E$35&lt;&gt;""</formula>
    </cfRule>
  </conditionalFormatting>
  <conditionalFormatting sqref="B39:H39">
    <cfRule type="expression" dxfId="118" priority="5">
      <formula>$H$39&lt;&gt;$H$40</formula>
    </cfRule>
  </conditionalFormatting>
  <conditionalFormatting sqref="F35:F36">
    <cfRule type="expression" dxfId="117"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&amp;L&amp;F  &amp;A&amp;R&amp;P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x14ac:dyDescent="0.25"/>
  <cols>
    <col min="1" max="1" width="5.7109375" style="40" customWidth="1"/>
    <col min="2" max="2" width="44.5703125" style="37" customWidth="1"/>
    <col min="3" max="3" width="39.42578125" style="37" customWidth="1"/>
    <col min="4" max="4" width="21.140625" style="37" bestFit="1" customWidth="1"/>
    <col min="5" max="6" width="20.7109375" style="37" customWidth="1"/>
    <col min="7" max="7" width="40.7109375" style="37" customWidth="1"/>
    <col min="8" max="8" width="66.42578125" style="37" customWidth="1"/>
    <col min="9" max="16384" width="9.140625" style="37"/>
  </cols>
  <sheetData>
    <row r="1" spans="1:8" ht="15" customHeight="1" x14ac:dyDescent="0.25">
      <c r="A1" s="154"/>
      <c r="B1" s="12" t="s">
        <v>25</v>
      </c>
      <c r="C1" s="326"/>
      <c r="D1" s="12"/>
      <c r="E1" s="12"/>
      <c r="F1" s="12"/>
      <c r="G1" s="12"/>
      <c r="H1" s="12"/>
    </row>
    <row r="2" spans="1:8" ht="15" customHeight="1" x14ac:dyDescent="0.25">
      <c r="A2" s="156"/>
      <c r="B2" s="161" t="s">
        <v>20</v>
      </c>
      <c r="C2" s="325" t="str">
        <f>IF(OR('1. Aanvraaggegevens'!C8="",'1. Aanvraaggegevens'!C8=0),"Kies een berekeningsmethode op tabblad '1. Aanvraaggegevens'",'1. Aanvraaggegevens'!C8)</f>
        <v>Kies een berekeningsmethode op tabblad '1. Aanvraaggegevens'</v>
      </c>
      <c r="D2" s="161"/>
      <c r="E2" s="161"/>
      <c r="F2" s="161"/>
      <c r="G2" s="161"/>
      <c r="H2" s="161"/>
    </row>
    <row r="3" spans="1:8" s="44" customFormat="1" ht="30" x14ac:dyDescent="0.25">
      <c r="A3" s="153" t="s">
        <v>148</v>
      </c>
      <c r="B3" s="150" t="s">
        <v>76</v>
      </c>
      <c r="C3" s="150" t="s">
        <v>39</v>
      </c>
      <c r="D3" s="150" t="s">
        <v>83</v>
      </c>
      <c r="E3" s="132" t="s">
        <v>58</v>
      </c>
      <c r="F3" s="132" t="s">
        <v>60</v>
      </c>
      <c r="G3" s="150" t="s">
        <v>57</v>
      </c>
      <c r="H3" s="150" t="s">
        <v>56</v>
      </c>
    </row>
    <row r="4" spans="1:8" ht="15" customHeight="1" x14ac:dyDescent="0.25">
      <c r="A4" s="166">
        <v>1</v>
      </c>
      <c r="B4" s="72"/>
      <c r="C4" s="259"/>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25">
      <c r="A5" s="166">
        <v>2</v>
      </c>
      <c r="B5" s="72"/>
      <c r="C5" s="259"/>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25">
      <c r="A6" s="166">
        <v>3</v>
      </c>
      <c r="B6" s="72"/>
      <c r="C6" s="259"/>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25">
      <c r="A7" s="166">
        <v>4</v>
      </c>
      <c r="B7" s="72"/>
      <c r="C7" s="259"/>
      <c r="D7" s="19" t="str">
        <f>IF(OR($B7="",$B7="&lt;Vul in&gt;"),"",(SUMIF('5. Kosten uitvoering project'!$D$6:$D$106,B7,'5. Kosten uitvoering project'!$P$6:$P$106)))</f>
        <v/>
      </c>
      <c r="E7" s="13" t="str">
        <f t="shared" si="0"/>
        <v/>
      </c>
      <c r="F7" s="19" t="str">
        <f t="shared" ca="1" si="1"/>
        <v/>
      </c>
      <c r="G7" s="29"/>
      <c r="H7" s="4"/>
    </row>
    <row r="8" spans="1:8" ht="15" customHeight="1" x14ac:dyDescent="0.25">
      <c r="A8" s="166">
        <v>5</v>
      </c>
      <c r="B8" s="72"/>
      <c r="C8" s="259"/>
      <c r="D8" s="19" t="str">
        <f>IF(OR($B8="",$B8="&lt;Vul in&gt;"),"",(SUMIF('5. Kosten uitvoering project'!$D$6:$D$106,B8,'5. Kosten uitvoering project'!$P$6:$P$106)))</f>
        <v/>
      </c>
      <c r="E8" s="13" t="str">
        <f t="shared" si="0"/>
        <v/>
      </c>
      <c r="F8" s="19" t="str">
        <f t="shared" ca="1" si="1"/>
        <v/>
      </c>
      <c r="G8" s="29"/>
      <c r="H8" s="4"/>
    </row>
    <row r="9" spans="1:8" ht="15" customHeight="1" x14ac:dyDescent="0.25">
      <c r="A9" s="166">
        <v>6</v>
      </c>
      <c r="B9" s="72"/>
      <c r="C9" s="259"/>
      <c r="D9" s="19" t="str">
        <f>IF(OR($B9="",$B9="&lt;Vul in&gt;"),"",(SUMIF('5. Kosten uitvoering project'!$D$6:$D$106,B9,'5. Kosten uitvoering project'!$P$6:$P$106)))</f>
        <v/>
      </c>
      <c r="E9" s="13" t="str">
        <f t="shared" si="0"/>
        <v/>
      </c>
      <c r="F9" s="19" t="str">
        <f t="shared" ca="1" si="1"/>
        <v/>
      </c>
      <c r="G9" s="29"/>
      <c r="H9" s="4"/>
    </row>
    <row r="10" spans="1:8" ht="15" customHeight="1" x14ac:dyDescent="0.25">
      <c r="A10" s="166">
        <v>7</v>
      </c>
      <c r="B10" s="72"/>
      <c r="C10" s="259"/>
      <c r="D10" s="19" t="str">
        <f>IF(OR($B10="",$B10="&lt;Vul in&gt;"),"",(SUMIF('5. Kosten uitvoering project'!$D$6:$D$106,B10,'5. Kosten uitvoering project'!$P$6:$P$106)))</f>
        <v/>
      </c>
      <c r="E10" s="13" t="str">
        <f t="shared" si="0"/>
        <v/>
      </c>
      <c r="F10" s="19" t="str">
        <f t="shared" ca="1" si="1"/>
        <v/>
      </c>
      <c r="G10" s="29"/>
      <c r="H10" s="4"/>
    </row>
    <row r="11" spans="1:8" ht="15" customHeight="1" x14ac:dyDescent="0.25">
      <c r="A11" s="166">
        <v>8</v>
      </c>
      <c r="B11" s="72"/>
      <c r="C11" s="259"/>
      <c r="D11" s="19" t="str">
        <f>IF(OR($B11="",$B11="&lt;Vul in&gt;"),"",(SUMIF('5. Kosten uitvoering project'!$D$6:$D$106,B11,'5. Kosten uitvoering project'!$P$6:$P$106)))</f>
        <v/>
      </c>
      <c r="E11" s="13" t="str">
        <f t="shared" si="0"/>
        <v/>
      </c>
      <c r="F11" s="19" t="str">
        <f t="shared" ca="1" si="1"/>
        <v/>
      </c>
      <c r="G11" s="29"/>
      <c r="H11" s="4"/>
    </row>
    <row r="12" spans="1:8" ht="15" customHeight="1" x14ac:dyDescent="0.25">
      <c r="A12" s="166">
        <v>9</v>
      </c>
      <c r="B12" s="72"/>
      <c r="C12" s="259"/>
      <c r="D12" s="19" t="str">
        <f>IF(OR($B12="",$B12="&lt;Vul in&gt;"),"",(SUMIF('5. Kosten uitvoering project'!$D$6:$D$106,B12,'5. Kosten uitvoering project'!$P$6:$P$106)))</f>
        <v/>
      </c>
      <c r="E12" s="13" t="str">
        <f t="shared" si="0"/>
        <v/>
      </c>
      <c r="F12" s="19" t="str">
        <f t="shared" ca="1" si="1"/>
        <v/>
      </c>
      <c r="G12" s="29"/>
      <c r="H12" s="4"/>
    </row>
    <row r="13" spans="1:8" ht="15" customHeight="1" x14ac:dyDescent="0.25">
      <c r="A13" s="166">
        <v>10</v>
      </c>
      <c r="B13" s="72"/>
      <c r="C13" s="259"/>
      <c r="D13" s="19" t="str">
        <f>IF(OR($B13="",$B13="&lt;Vul in&gt;"),"",(SUMIF('5. Kosten uitvoering project'!$D$6:$D$106,B13,'5. Kosten uitvoering project'!$P$6:$P$106)))</f>
        <v/>
      </c>
      <c r="E13" s="13" t="str">
        <f t="shared" si="0"/>
        <v/>
      </c>
      <c r="F13" s="19" t="str">
        <f t="shared" ca="1" si="1"/>
        <v/>
      </c>
      <c r="G13" s="29"/>
      <c r="H13" s="4"/>
    </row>
    <row r="14" spans="1:8" ht="15" customHeight="1" x14ac:dyDescent="0.25">
      <c r="A14" s="166">
        <v>11</v>
      </c>
      <c r="B14" s="72"/>
      <c r="C14" s="259"/>
      <c r="D14" s="19" t="str">
        <f>IF(OR($B14="",$B14="&lt;Vul in&gt;"),"",(SUMIF('5. Kosten uitvoering project'!$D$6:$D$106,B14,'5. Kosten uitvoering project'!$P$6:$P$106)))</f>
        <v/>
      </c>
      <c r="E14" s="13" t="str">
        <f t="shared" si="0"/>
        <v/>
      </c>
      <c r="F14" s="19" t="str">
        <f t="shared" ca="1" si="1"/>
        <v/>
      </c>
      <c r="G14" s="29"/>
      <c r="H14" s="4"/>
    </row>
    <row r="15" spans="1:8" ht="15" customHeight="1" x14ac:dyDescent="0.25">
      <c r="A15" s="166">
        <v>12</v>
      </c>
      <c r="B15" s="72"/>
      <c r="C15" s="259"/>
      <c r="D15" s="19" t="str">
        <f>IF(OR($B15="",$B15="&lt;Vul in&gt;"),"",(SUMIF('5. Kosten uitvoering project'!$D$6:$D$106,B15,'5. Kosten uitvoering project'!$P$6:$P$106)))</f>
        <v/>
      </c>
      <c r="E15" s="13" t="str">
        <f t="shared" si="0"/>
        <v/>
      </c>
      <c r="F15" s="19" t="str">
        <f t="shared" ca="1" si="1"/>
        <v/>
      </c>
      <c r="G15" s="29"/>
      <c r="H15" s="4"/>
    </row>
    <row r="16" spans="1:8" ht="15" customHeight="1" x14ac:dyDescent="0.25">
      <c r="A16" s="166">
        <v>13</v>
      </c>
      <c r="B16" s="72"/>
      <c r="C16" s="259"/>
      <c r="D16" s="19" t="str">
        <f>IF(OR($B16="",$B16="&lt;Vul in&gt;"),"",(SUMIF('5. Kosten uitvoering project'!$D$6:$D$106,B16,'5. Kosten uitvoering project'!$P$6:$P$106)))</f>
        <v/>
      </c>
      <c r="E16" s="13" t="str">
        <f t="shared" si="0"/>
        <v/>
      </c>
      <c r="F16" s="19" t="str">
        <f t="shared" ca="1" si="1"/>
        <v/>
      </c>
      <c r="G16" s="29"/>
      <c r="H16" s="4"/>
    </row>
    <row r="17" spans="1:8" ht="15" customHeight="1" x14ac:dyDescent="0.25">
      <c r="A17" s="166">
        <v>14</v>
      </c>
      <c r="B17" s="72"/>
      <c r="C17" s="259"/>
      <c r="D17" s="19" t="str">
        <f>IF(OR($B17="",$B17="&lt;Vul in&gt;"),"",(SUMIF('5. Kosten uitvoering project'!$D$6:$D$106,B17,'5. Kosten uitvoering project'!$P$6:$P$106)))</f>
        <v/>
      </c>
      <c r="E17" s="13" t="str">
        <f t="shared" si="0"/>
        <v/>
      </c>
      <c r="F17" s="19" t="str">
        <f t="shared" ca="1" si="1"/>
        <v/>
      </c>
      <c r="G17" s="29"/>
      <c r="H17" s="4"/>
    </row>
    <row r="18" spans="1:8" ht="15" customHeight="1" x14ac:dyDescent="0.25">
      <c r="A18" s="166">
        <v>15</v>
      </c>
      <c r="B18" s="72"/>
      <c r="C18" s="259"/>
      <c r="D18" s="19" t="str">
        <f>IF(OR($B18="",$B18="&lt;Vul in&gt;"),"",(SUMIF('5. Kosten uitvoering project'!$D$6:$D$106,B18,'5. Kosten uitvoering project'!$P$6:$P$106)))</f>
        <v/>
      </c>
      <c r="E18" s="13" t="str">
        <f t="shared" si="0"/>
        <v/>
      </c>
      <c r="F18" s="19" t="str">
        <f t="shared" ca="1" si="1"/>
        <v/>
      </c>
      <c r="G18" s="29"/>
      <c r="H18" s="4"/>
    </row>
    <row r="19" spans="1:8" ht="15" customHeight="1" x14ac:dyDescent="0.25">
      <c r="A19" s="166">
        <v>16</v>
      </c>
      <c r="B19" s="72"/>
      <c r="C19" s="259"/>
      <c r="D19" s="19" t="str">
        <f>IF(OR($B19="",$B19="&lt;Vul in&gt;"),"",(SUMIF('5. Kosten uitvoering project'!$D$6:$D$106,B19,'5. Kosten uitvoering project'!$P$6:$P$106)))</f>
        <v/>
      </c>
      <c r="E19" s="13" t="str">
        <f t="shared" si="0"/>
        <v/>
      </c>
      <c r="F19" s="19" t="str">
        <f t="shared" ca="1" si="1"/>
        <v/>
      </c>
      <c r="G19" s="29"/>
      <c r="H19" s="4"/>
    </row>
    <row r="20" spans="1:8" ht="15" customHeight="1" x14ac:dyDescent="0.25">
      <c r="A20" s="166">
        <v>17</v>
      </c>
      <c r="B20" s="72"/>
      <c r="C20" s="259"/>
      <c r="D20" s="19" t="str">
        <f>IF(OR($B20="",$B20="&lt;Vul in&gt;"),"",(SUMIF('5. Kosten uitvoering project'!$D$6:$D$106,B20,'5. Kosten uitvoering project'!$P$6:$P$106)))</f>
        <v/>
      </c>
      <c r="E20" s="13" t="str">
        <f t="shared" si="0"/>
        <v/>
      </c>
      <c r="F20" s="19" t="str">
        <f t="shared" ca="1" si="1"/>
        <v/>
      </c>
      <c r="G20" s="29"/>
      <c r="H20" s="4"/>
    </row>
    <row r="21" spans="1:8" ht="15" customHeight="1" x14ac:dyDescent="0.25">
      <c r="A21" s="166">
        <v>18</v>
      </c>
      <c r="B21" s="72"/>
      <c r="C21" s="259"/>
      <c r="D21" s="19" t="str">
        <f>IF(OR($B21="",$B21="&lt;Vul in&gt;"),"",(SUMIF('5. Kosten uitvoering project'!$D$6:$D$106,B21,'5. Kosten uitvoering project'!$P$6:$P$106)))</f>
        <v/>
      </c>
      <c r="E21" s="13" t="str">
        <f t="shared" si="0"/>
        <v/>
      </c>
      <c r="F21" s="19" t="str">
        <f t="shared" ca="1" si="1"/>
        <v/>
      </c>
      <c r="G21" s="29"/>
      <c r="H21" s="4"/>
    </row>
    <row r="22" spans="1:8" ht="15" customHeight="1" x14ac:dyDescent="0.25">
      <c r="A22" s="166">
        <v>19</v>
      </c>
      <c r="B22" s="72"/>
      <c r="C22" s="259"/>
      <c r="D22" s="19" t="str">
        <f>IF(OR($B22="",$B22="&lt;Vul in&gt;"),"",(SUMIF('5. Kosten uitvoering project'!$D$6:$D$106,B22,'5. Kosten uitvoering project'!$P$6:$P$106)))</f>
        <v/>
      </c>
      <c r="E22" s="13" t="str">
        <f t="shared" si="0"/>
        <v/>
      </c>
      <c r="F22" s="19" t="str">
        <f t="shared" ca="1" si="1"/>
        <v/>
      </c>
      <c r="G22" s="29"/>
      <c r="H22" s="4"/>
    </row>
    <row r="23" spans="1:8" ht="15" customHeight="1" x14ac:dyDescent="0.25">
      <c r="A23" s="166">
        <v>20</v>
      </c>
      <c r="B23" s="72"/>
      <c r="C23" s="259"/>
      <c r="D23" s="19" t="str">
        <f>IF(OR($B23="",$B23="&lt;Vul in&gt;"),"",(SUMIF('5. Kosten uitvoering project'!$D$6:$D$106,B23,'5. Kosten uitvoering project'!$P$6:$P$106)))</f>
        <v/>
      </c>
      <c r="E23" s="13" t="str">
        <f t="shared" si="0"/>
        <v/>
      </c>
      <c r="F23" s="19" t="str">
        <f t="shared" ca="1" si="1"/>
        <v/>
      </c>
      <c r="G23" s="29"/>
      <c r="H23" s="4"/>
    </row>
    <row r="24" spans="1:8" ht="15" customHeight="1" x14ac:dyDescent="0.25">
      <c r="A24" s="166">
        <v>21</v>
      </c>
      <c r="B24" s="72"/>
      <c r="C24" s="259"/>
      <c r="D24" s="19" t="str">
        <f>IF(OR($B24="",$B24="&lt;Vul in&gt;"),"",(SUMIF('5. Kosten uitvoering project'!$D$6:$D$106,B24,'5. Kosten uitvoering project'!$P$6:$P$106)))</f>
        <v/>
      </c>
      <c r="E24" s="13" t="str">
        <f t="shared" si="0"/>
        <v/>
      </c>
      <c r="F24" s="19" t="str">
        <f t="shared" ca="1" si="1"/>
        <v/>
      </c>
      <c r="G24" s="29"/>
      <c r="H24" s="4"/>
    </row>
    <row r="25" spans="1:8" ht="15" customHeight="1" x14ac:dyDescent="0.25">
      <c r="A25" s="166">
        <v>22</v>
      </c>
      <c r="B25" s="72"/>
      <c r="C25" s="259"/>
      <c r="D25" s="19" t="str">
        <f>IF(OR($B25="",$B25="&lt;Vul in&gt;"),"",(SUMIF('5. Kosten uitvoering project'!$D$6:$D$106,B25,'5. Kosten uitvoering project'!$P$6:$P$106)))</f>
        <v/>
      </c>
      <c r="E25" s="13" t="str">
        <f t="shared" si="0"/>
        <v/>
      </c>
      <c r="F25" s="19" t="str">
        <f t="shared" ca="1" si="1"/>
        <v/>
      </c>
      <c r="G25" s="29"/>
      <c r="H25" s="4"/>
    </row>
    <row r="26" spans="1:8" ht="15" customHeight="1" x14ac:dyDescent="0.25">
      <c r="A26" s="166">
        <v>23</v>
      </c>
      <c r="B26" s="72"/>
      <c r="C26" s="259"/>
      <c r="D26" s="19" t="str">
        <f>IF(OR($B26="",$B26="&lt;Vul in&gt;"),"",(SUMIF('5. Kosten uitvoering project'!$D$6:$D$106,B26,'5. Kosten uitvoering project'!$P$6:$P$106)))</f>
        <v/>
      </c>
      <c r="E26" s="13" t="str">
        <f t="shared" si="0"/>
        <v/>
      </c>
      <c r="F26" s="19" t="str">
        <f t="shared" ca="1" si="1"/>
        <v/>
      </c>
      <c r="G26" s="29"/>
      <c r="H26" s="4"/>
    </row>
    <row r="27" spans="1:8" ht="15" customHeight="1" x14ac:dyDescent="0.25">
      <c r="A27" s="166">
        <v>24</v>
      </c>
      <c r="B27" s="72"/>
      <c r="C27" s="259"/>
      <c r="D27" s="19" t="str">
        <f>IF(OR($B27="",$B27="&lt;Vul in&gt;"),"",(SUMIF('5. Kosten uitvoering project'!$D$6:$D$106,B27,'5. Kosten uitvoering project'!$P$6:$P$106)))</f>
        <v/>
      </c>
      <c r="E27" s="13" t="str">
        <f t="shared" si="0"/>
        <v/>
      </c>
      <c r="F27" s="19" t="str">
        <f t="shared" ca="1" si="1"/>
        <v/>
      </c>
      <c r="G27" s="29"/>
      <c r="H27" s="4"/>
    </row>
    <row r="28" spans="1:8" ht="15" customHeight="1" x14ac:dyDescent="0.25">
      <c r="A28" s="166">
        <v>25</v>
      </c>
      <c r="B28" s="72"/>
      <c r="C28" s="259"/>
      <c r="D28" s="19" t="str">
        <f>IF(OR($B28="",$B28="&lt;Vul in&gt;"),"",(SUMIF('5. Kosten uitvoering project'!$D$6:$D$106,B28,'5. Kosten uitvoering project'!$P$6:$P$106)))</f>
        <v/>
      </c>
      <c r="E28" s="13" t="str">
        <f t="shared" si="0"/>
        <v/>
      </c>
      <c r="F28" s="19" t="str">
        <f t="shared" ca="1" si="1"/>
        <v/>
      </c>
      <c r="G28" s="29"/>
      <c r="H28" s="4"/>
    </row>
    <row r="29" spans="1:8" ht="15" customHeight="1" x14ac:dyDescent="0.25">
      <c r="A29" s="166">
        <v>26</v>
      </c>
      <c r="B29" s="72"/>
      <c r="C29" s="259"/>
      <c r="D29" s="19" t="str">
        <f>IF(OR($B29="",$B29="&lt;Vul in&gt;"),"",(SUMIF('5. Kosten uitvoering project'!$D$6:$D$106,B29,'5. Kosten uitvoering project'!$P$6:$P$106)))</f>
        <v/>
      </c>
      <c r="E29" s="13" t="str">
        <f t="shared" si="0"/>
        <v/>
      </c>
      <c r="F29" s="19" t="str">
        <f t="shared" ca="1" si="1"/>
        <v/>
      </c>
      <c r="G29" s="29"/>
      <c r="H29" s="4"/>
    </row>
    <row r="30" spans="1:8" ht="15" customHeight="1" x14ac:dyDescent="0.25">
      <c r="A30" s="166">
        <v>27</v>
      </c>
      <c r="B30" s="72"/>
      <c r="C30" s="259"/>
      <c r="D30" s="19" t="str">
        <f>IF(OR($B30="",$B30="&lt;Vul in&gt;"),"",(SUMIF('5. Kosten uitvoering project'!$D$6:$D$106,B30,'5. Kosten uitvoering project'!$P$6:$P$106)))</f>
        <v/>
      </c>
      <c r="E30" s="13" t="str">
        <f t="shared" si="0"/>
        <v/>
      </c>
      <c r="F30" s="19" t="str">
        <f t="shared" ca="1" si="1"/>
        <v/>
      </c>
      <c r="G30" s="29"/>
      <c r="H30" s="4"/>
    </row>
    <row r="31" spans="1:8" ht="15" customHeight="1" x14ac:dyDescent="0.25">
      <c r="A31" s="166">
        <v>28</v>
      </c>
      <c r="B31" s="72"/>
      <c r="C31" s="259"/>
      <c r="D31" s="19" t="str">
        <f>IF(OR($B31="",$B31="&lt;Vul in&gt;"),"",(SUMIF('5. Kosten uitvoering project'!$D$6:$D$106,B31,'5. Kosten uitvoering project'!$P$6:$P$106)))</f>
        <v/>
      </c>
      <c r="E31" s="13" t="str">
        <f t="shared" si="0"/>
        <v/>
      </c>
      <c r="F31" s="19" t="str">
        <f t="shared" ca="1" si="1"/>
        <v/>
      </c>
      <c r="G31" s="29"/>
      <c r="H31" s="4"/>
    </row>
    <row r="32" spans="1:8" ht="15" customHeight="1" x14ac:dyDescent="0.25">
      <c r="A32" s="166">
        <v>29</v>
      </c>
      <c r="B32" s="72"/>
      <c r="C32" s="259"/>
      <c r="D32" s="19" t="str">
        <f>IF(OR($B32="",$B32="&lt;Vul in&gt;"),"",(SUMIF('5. Kosten uitvoering project'!$D$6:$D$106,B32,'5. Kosten uitvoering project'!$P$6:$P$106)))</f>
        <v/>
      </c>
      <c r="E32" s="13" t="str">
        <f t="shared" si="0"/>
        <v/>
      </c>
      <c r="F32" s="19" t="str">
        <f t="shared" ca="1" si="1"/>
        <v/>
      </c>
      <c r="G32" s="29"/>
      <c r="H32" s="4"/>
    </row>
    <row r="33" spans="1:8" ht="15" customHeight="1" x14ac:dyDescent="0.25">
      <c r="A33" s="166">
        <v>30</v>
      </c>
      <c r="B33" s="72"/>
      <c r="C33" s="259"/>
      <c r="D33" s="19" t="str">
        <f>IF(OR($B33="",$B33="&lt;Vul in&gt;"),"",(SUMIF('5. Kosten uitvoering project'!$D$6:$D$106,B33,'5. Kosten uitvoering project'!$P$6:$P$106)))</f>
        <v/>
      </c>
      <c r="E33" s="13" t="str">
        <f t="shared" si="0"/>
        <v/>
      </c>
      <c r="F33" s="19" t="str">
        <f t="shared" ca="1" si="1"/>
        <v/>
      </c>
      <c r="G33" s="29"/>
      <c r="H33" s="4"/>
    </row>
    <row r="34" spans="1:8" ht="15" customHeight="1" x14ac:dyDescent="0.25">
      <c r="A34" s="41"/>
      <c r="B34" s="45" t="s">
        <v>41</v>
      </c>
      <c r="C34" s="46"/>
      <c r="D34" s="15">
        <f>SUM(D4:D33)</f>
        <v>0</v>
      </c>
      <c r="E34" s="16"/>
      <c r="F34" s="15"/>
      <c r="G34" s="15"/>
      <c r="H34" s="15"/>
    </row>
    <row r="35" spans="1:8" ht="15" customHeight="1" x14ac:dyDescent="0.25">
      <c r="A35" s="42"/>
      <c r="B35" s="76" t="str">
        <f>IF(D35&lt;&gt;"","Kosten nog toe te kennen aan een projectdeelnemer","")</f>
        <v/>
      </c>
      <c r="C35" s="46"/>
      <c r="D35" s="15" t="str">
        <f>IF(D37-D34-IF(D36&lt;&gt;"",D36,0)&lt;&gt;0,D37-D34-IF(D36&lt;&gt;"",D36,0),"")</f>
        <v/>
      </c>
      <c r="E35" s="16"/>
      <c r="F35" s="15"/>
      <c r="G35" s="15"/>
      <c r="H35" s="15"/>
    </row>
    <row r="36" spans="1:8" ht="15" customHeight="1" x14ac:dyDescent="0.25">
      <c r="A36" s="42"/>
      <c r="B36" s="45" t="str">
        <f>IF(D36&lt;&gt;"","Forfait op basis van opgegeven kosten","")</f>
        <v/>
      </c>
      <c r="C36" s="46"/>
      <c r="D36" s="15" t="str">
        <f>IF(Forfait_Aanvraag&lt;&gt;0,Forfait_Aanvraag,"")</f>
        <v/>
      </c>
      <c r="E36" s="16"/>
      <c r="F36" s="15"/>
      <c r="G36" s="15"/>
      <c r="H36" s="15"/>
    </row>
    <row r="37" spans="1:8" ht="15" customHeight="1" x14ac:dyDescent="0.25">
      <c r="A37" s="43"/>
      <c r="B37" s="45" t="s">
        <v>88</v>
      </c>
      <c r="C37" s="46"/>
      <c r="D37" s="15">
        <f>Totaal_Project</f>
        <v>0</v>
      </c>
      <c r="E37" s="12"/>
      <c r="F37" s="12"/>
      <c r="G37" s="12"/>
      <c r="H37" s="12"/>
    </row>
    <row r="38" spans="1:8" ht="15" customHeight="1" x14ac:dyDescent="0.25">
      <c r="A38" s="43"/>
      <c r="B38" s="45"/>
      <c r="C38" s="46"/>
      <c r="D38" s="15"/>
      <c r="E38" s="12"/>
      <c r="F38" s="12"/>
      <c r="G38" s="12"/>
      <c r="H38" s="12"/>
    </row>
    <row r="39" spans="1:8" ht="15" customHeight="1" x14ac:dyDescent="0.25">
      <c r="A39" s="43"/>
      <c r="B39" s="45" t="s">
        <v>32</v>
      </c>
      <c r="C39" s="46"/>
      <c r="D39" s="15"/>
      <c r="E39" s="12"/>
      <c r="F39" s="12"/>
      <c r="G39" s="73">
        <f>SUM(G4:G33)</f>
        <v>0</v>
      </c>
      <c r="H39" s="15"/>
    </row>
    <row r="40" spans="1:8" ht="15" customHeight="1" x14ac:dyDescent="0.25">
      <c r="A40" s="43"/>
      <c r="B40" s="45" t="str">
        <f ca="1">IF(G40&lt;&gt;"","Subsidie nog toe te kennen aan een deelprestatie","")</f>
        <v/>
      </c>
      <c r="C40" s="46"/>
      <c r="D40" s="15"/>
      <c r="E40" s="12"/>
      <c r="F40" s="12"/>
      <c r="G40" s="15" t="str">
        <f ca="1">IF(G41-G39&lt;&gt;0,G41-G39,"")</f>
        <v/>
      </c>
      <c r="H40" s="15"/>
    </row>
    <row r="41" spans="1:8" ht="15" customHeight="1" x14ac:dyDescent="0.2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KXwXTg/1IkTk3yHSrfKHlbwAYWzDD8fbS/K6gSf2Zm3+r9zikQCOTppolvPMAW31SpaqyzuH6/pCqY8mSVu/sw==" saltValue="jQIWhR3Hrh9BUK6W7/XbEQ==" spinCount="100000" sheet="1" formatCells="0" formatColumns="0" formatRows="0"/>
  <phoneticPr fontId="3" type="noConversion"/>
  <conditionalFormatting sqref="B4:B33">
    <cfRule type="cellIs" dxfId="116" priority="7" operator="equal">
      <formula>""</formula>
    </cfRule>
  </conditionalFormatting>
  <conditionalFormatting sqref="B34">
    <cfRule type="expression" dxfId="115" priority="3">
      <formula>$D$35&lt;&gt;""</formula>
    </cfRule>
  </conditionalFormatting>
  <conditionalFormatting sqref="B40">
    <cfRule type="expression" dxfId="114" priority="10">
      <formula>#REF!&lt;&gt;#REF!</formula>
    </cfRule>
  </conditionalFormatting>
  <conditionalFormatting sqref="B39:C39 C40">
    <cfRule type="expression" dxfId="113" priority="16">
      <formula>#REF!&lt;&gt;#REF!</formula>
    </cfRule>
  </conditionalFormatting>
  <conditionalFormatting sqref="C4:C33">
    <cfRule type="expression" dxfId="112" priority="1">
      <formula>AND($Q4&lt;&gt;"",$Q4&lt;&gt;0,$C4="")</formula>
    </cfRule>
  </conditionalFormatting>
  <conditionalFormatting sqref="D34 F34:F36">
    <cfRule type="expression" dxfId="111" priority="18">
      <formula>$D$35&lt;&gt;""</formula>
    </cfRule>
  </conditionalFormatting>
  <conditionalFormatting sqref="D35">
    <cfRule type="expression" dxfId="110" priority="5">
      <formula>$D$34&lt;&gt;$D$37</formula>
    </cfRule>
  </conditionalFormatting>
  <conditionalFormatting sqref="D39:D40 F39:F40">
    <cfRule type="expression" dxfId="109" priority="17">
      <formula>#REF!&lt;&gt;#REF!</formula>
    </cfRule>
  </conditionalFormatting>
  <conditionalFormatting sqref="E39:E40">
    <cfRule type="expression" dxfId="108" priority="32">
      <formula>#REF!&lt;&gt;#REF!</formula>
    </cfRule>
  </conditionalFormatting>
  <conditionalFormatting sqref="G39:H40">
    <cfRule type="expression" dxfId="107" priority="8">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&amp;L&amp;F  &amp;A&amp;R&amp;P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customHeight="1" x14ac:dyDescent="0.25"/>
  <cols>
    <col min="1" max="1" width="11.28515625" style="48" bestFit="1" customWidth="1"/>
    <col min="2" max="2" width="15.5703125" style="48" customWidth="1"/>
    <col min="3" max="3" width="29.7109375" style="47" customWidth="1"/>
    <col min="4" max="4" width="14.5703125" style="47" customWidth="1"/>
    <col min="5" max="5" width="15.42578125" style="47" bestFit="1" customWidth="1"/>
    <col min="6" max="7" width="18.7109375" style="47" customWidth="1"/>
    <col min="8" max="8" width="15.28515625" style="47" bestFit="1" customWidth="1"/>
    <col min="9" max="9" width="16" style="47" customWidth="1"/>
    <col min="10" max="10" width="11" style="47" bestFit="1" customWidth="1"/>
    <col min="11" max="11" width="11.42578125" style="47" hidden="1" customWidth="1"/>
    <col min="12" max="13" width="15.42578125" style="47" hidden="1" customWidth="1"/>
    <col min="14" max="14" width="18.140625" style="47" hidden="1" customWidth="1"/>
    <col min="15" max="15" width="18.42578125" style="47" hidden="1" customWidth="1"/>
    <col min="16" max="16" width="15.7109375" style="47" hidden="1" customWidth="1"/>
    <col min="17" max="17" width="16.42578125" style="47" hidden="1" customWidth="1"/>
    <col min="18" max="18" width="9.85546875" style="47" hidden="1" customWidth="1"/>
    <col min="19" max="19" width="12" style="47" bestFit="1" customWidth="1"/>
    <col min="20" max="20" width="9.7109375" style="47" bestFit="1" customWidth="1"/>
    <col min="21" max="21" width="15.28515625" style="47" customWidth="1"/>
    <col min="22" max="22" width="11.140625" style="47" bestFit="1" customWidth="1"/>
    <col min="23" max="23" width="11.42578125" style="47" hidden="1" customWidth="1"/>
    <col min="24" max="24" width="55.140625" style="47" customWidth="1"/>
    <col min="25" max="25" width="61.28515625" hidden="1" customWidth="1"/>
    <col min="26" max="27" width="7.7109375" style="47" customWidth="1"/>
    <col min="28" max="16384" width="9.140625" style="47"/>
  </cols>
  <sheetData>
    <row r="1" spans="1:25" s="37" customFormat="1" ht="15" customHeight="1" x14ac:dyDescent="0.25">
      <c r="A1" s="17"/>
      <c r="B1" s="12" t="s">
        <v>55</v>
      </c>
      <c r="C1" s="326"/>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25">
      <c r="A2" s="160"/>
      <c r="B2" s="161" t="s">
        <v>20</v>
      </c>
      <c r="C2" s="325" t="str">
        <f>IF(OR('1. Aanvraaggegevens'!C8="",'1. Aanvraaggegevens'!C8=0),"Kies een berekeningsmethode op tabblad '1. Aanvraaggegevens'",'1. Aanvraaggegevens'!C8)</f>
        <v>Kies een berekeningsmethode op tabblad '1. Aanvraaggegevens'</v>
      </c>
      <c r="D2" s="161"/>
      <c r="E2" s="161"/>
      <c r="F2" s="161"/>
      <c r="G2" s="162"/>
      <c r="H2" s="163" t="str">
        <f>IF(C2="Vereenvoudigde kostenoptie voor arbeidskosten","--&gt;U heeft gekozen voor een forfait voor arbeidskosten. U hoeft daarom geen loonkosten op te geven.","")</f>
        <v/>
      </c>
      <c r="I2" s="163"/>
      <c r="J2" s="163"/>
      <c r="K2" s="160"/>
      <c r="L2" s="162"/>
      <c r="M2" s="162"/>
      <c r="N2" s="162"/>
      <c r="O2" s="162"/>
      <c r="P2" s="163" t="str">
        <f>IF(G2="Vereenvoudigde kostenoptie voor arbeidskosten","--&gt;U heeft gekozen voor een forfait voor arbeidskosten. U hoeft daarom geen loonkosten op te geven.","")</f>
        <v/>
      </c>
      <c r="Q2" s="163"/>
      <c r="R2" s="163"/>
      <c r="S2" s="161"/>
      <c r="T2" s="161"/>
      <c r="U2" s="161"/>
      <c r="V2" s="161"/>
      <c r="W2" s="161"/>
      <c r="X2" s="161"/>
      <c r="Y2" s="161"/>
    </row>
    <row r="3" spans="1:25" s="37" customFormat="1" ht="15" customHeight="1" x14ac:dyDescent="0.25">
      <c r="A3" s="92"/>
      <c r="B3" s="189"/>
      <c r="C3" s="189"/>
      <c r="D3" s="347" t="s">
        <v>147</v>
      </c>
      <c r="E3" s="348"/>
      <c r="F3" s="348"/>
      <c r="G3" s="348"/>
      <c r="H3" s="348"/>
      <c r="I3" s="348"/>
      <c r="J3" s="349"/>
      <c r="K3" s="350" t="s">
        <v>161</v>
      </c>
      <c r="L3" s="351"/>
      <c r="M3" s="351"/>
      <c r="N3" s="351"/>
      <c r="O3" s="351"/>
      <c r="P3" s="351"/>
      <c r="Q3" s="351"/>
      <c r="R3" s="352"/>
      <c r="S3" s="268"/>
      <c r="T3" s="189"/>
      <c r="U3" s="189"/>
      <c r="V3" s="189"/>
      <c r="W3" s="321"/>
      <c r="X3" s="267"/>
      <c r="Y3" s="322"/>
    </row>
    <row r="4" spans="1:25" s="39" customFormat="1" ht="60" x14ac:dyDescent="0.25">
      <c r="A4" s="93" t="s">
        <v>29</v>
      </c>
      <c r="B4" s="93" t="s">
        <v>36</v>
      </c>
      <c r="C4" s="168" t="s">
        <v>12</v>
      </c>
      <c r="D4" s="183" t="s">
        <v>34</v>
      </c>
      <c r="E4" s="184" t="s">
        <v>87</v>
      </c>
      <c r="F4" s="184" t="s">
        <v>33</v>
      </c>
      <c r="G4" s="185" t="s">
        <v>26</v>
      </c>
      <c r="H4" s="185" t="s">
        <v>13</v>
      </c>
      <c r="I4" s="185" t="s">
        <v>14</v>
      </c>
      <c r="J4" s="186" t="s">
        <v>37</v>
      </c>
      <c r="K4" s="183" t="s">
        <v>162</v>
      </c>
      <c r="L4" s="184" t="s">
        <v>34</v>
      </c>
      <c r="M4" s="184" t="s">
        <v>87</v>
      </c>
      <c r="N4" s="184" t="s">
        <v>33</v>
      </c>
      <c r="O4" s="185" t="s">
        <v>26</v>
      </c>
      <c r="P4" s="185" t="s">
        <v>13</v>
      </c>
      <c r="Q4" s="185" t="s">
        <v>14</v>
      </c>
      <c r="R4" s="186" t="s">
        <v>37</v>
      </c>
      <c r="S4" s="253" t="s">
        <v>310</v>
      </c>
      <c r="T4" s="170" t="s">
        <v>149</v>
      </c>
      <c r="U4" s="93" t="s">
        <v>151</v>
      </c>
      <c r="V4" s="93" t="s">
        <v>163</v>
      </c>
      <c r="W4" s="254" t="s">
        <v>164</v>
      </c>
      <c r="X4" s="169" t="s">
        <v>233</v>
      </c>
      <c r="Y4" s="93" t="s">
        <v>216</v>
      </c>
    </row>
    <row r="5" spans="1:25" ht="15" customHeight="1" x14ac:dyDescent="0.25">
      <c r="A5" s="188" t="str">
        <f>IF(OR($B5="Ja",$B5="Nee"),MAX($A$4:A4)+1,"")</f>
        <v/>
      </c>
      <c r="B5" s="167" t="s">
        <v>35</v>
      </c>
      <c r="C5" s="179"/>
      <c r="D5" s="180"/>
      <c r="E5" s="181"/>
      <c r="F5" s="165"/>
      <c r="G5" s="165"/>
      <c r="H5" s="174">
        <f>SUM(F5*12,G5)</f>
        <v>0</v>
      </c>
      <c r="I5" s="182">
        <f>1720*E5/40</f>
        <v>0</v>
      </c>
      <c r="J5" s="175">
        <f t="shared" ref="J5:J36" si="0">IF($B5="nee",IFERROR(ROUND(H5*(1+$U5)/I5,2),0),0)</f>
        <v>0</v>
      </c>
      <c r="K5" s="187"/>
      <c r="L5" s="165"/>
      <c r="M5" s="191"/>
      <c r="N5" s="165"/>
      <c r="O5" s="165"/>
      <c r="P5" s="174">
        <f>SUM(N5*12,O5)</f>
        <v>0</v>
      </c>
      <c r="Q5" s="182">
        <f t="shared" ref="Q5:Q36" si="1">1720*M5/40</f>
        <v>0</v>
      </c>
      <c r="R5" s="175">
        <f t="shared" ref="R5:R36" si="2">IF($B5="nee",IFERROR(ROUND(P5*(1+$U5)/Q5,2),0),0)</f>
        <v>0</v>
      </c>
      <c r="S5" s="255" t="s">
        <v>150</v>
      </c>
      <c r="T5" s="172" t="str">
        <f t="shared" ref="T5:T36" si="3">IF(Methode_Keuze&lt;&gt;"",IF($C$2="Vereenvoudigde kostenoptie voor overige kosten","nee","ja"),"nee")</f>
        <v>nee</v>
      </c>
      <c r="U5" s="173">
        <f>IF(T5="ja",0.442*(1.15)+0.15,0.442)</f>
        <v>0.442</v>
      </c>
      <c r="V5" s="176">
        <f>IF(B5="Ja",D5,J5)</f>
        <v>0</v>
      </c>
      <c r="W5" s="175" t="str">
        <f>IF(B5="Ja",IF(K5="JA",D5,L5),IF(B5="Nee",IF(K5="JA",J5,R5),""))</f>
        <v/>
      </c>
      <c r="X5" s="256"/>
      <c r="Y5" s="298"/>
    </row>
    <row r="6" spans="1:25" ht="15" customHeight="1" x14ac:dyDescent="0.25">
      <c r="A6" s="188" t="str">
        <f>IF(B6&lt;&gt;"&lt;Selecteer&gt;",MAX($A$4:A5)+1,"")</f>
        <v/>
      </c>
      <c r="B6" s="167" t="s">
        <v>35</v>
      </c>
      <c r="C6" s="179"/>
      <c r="D6" s="180"/>
      <c r="E6" s="181"/>
      <c r="F6" s="165"/>
      <c r="G6" s="165"/>
      <c r="H6" s="174">
        <f t="shared" ref="H6:H54" si="4">SUM(F6*12,G6)</f>
        <v>0</v>
      </c>
      <c r="I6" s="182">
        <f t="shared" ref="I6:I54" si="5">1720*E6/40</f>
        <v>0</v>
      </c>
      <c r="J6" s="175">
        <f t="shared" si="0"/>
        <v>0</v>
      </c>
      <c r="K6" s="187"/>
      <c r="L6" s="165"/>
      <c r="M6" s="191"/>
      <c r="N6" s="165"/>
      <c r="O6" s="165"/>
      <c r="P6" s="174">
        <f t="shared" ref="P6:P54" si="6">SUM(N6*12,O6)</f>
        <v>0</v>
      </c>
      <c r="Q6" s="182">
        <f t="shared" si="1"/>
        <v>0</v>
      </c>
      <c r="R6" s="175">
        <f t="shared" si="2"/>
        <v>0</v>
      </c>
      <c r="S6" s="255" t="s">
        <v>150</v>
      </c>
      <c r="T6" s="172" t="str">
        <f t="shared" si="3"/>
        <v>nee</v>
      </c>
      <c r="U6" s="173">
        <f t="shared" ref="U6:U54" si="7">IF(T6="ja",0.442*(1.15)+0.15,0.442)</f>
        <v>0.442</v>
      </c>
      <c r="V6" s="176">
        <f t="shared" ref="V6:V54" si="8">IF(B6="Ja",D6,J6)</f>
        <v>0</v>
      </c>
      <c r="W6" s="175" t="str">
        <f t="shared" ref="W6:W54" si="9">IF(B6="Ja",IF(K6="JA",D6,L6),IF(B6="Nee",IF(K6="JA",J6,R6),""))</f>
        <v/>
      </c>
      <c r="X6" s="256"/>
      <c r="Y6" s="298"/>
    </row>
    <row r="7" spans="1:25" ht="15" customHeight="1" x14ac:dyDescent="0.25">
      <c r="A7" s="188" t="str">
        <f>IF(B7&lt;&gt;"&lt;Selecteer&gt;",MAX($A$4:A6)+1,"")</f>
        <v/>
      </c>
      <c r="B7" s="167" t="s">
        <v>35</v>
      </c>
      <c r="C7" s="179"/>
      <c r="D7" s="180"/>
      <c r="E7" s="181"/>
      <c r="F7" s="165"/>
      <c r="G7" s="165"/>
      <c r="H7" s="174">
        <f t="shared" si="4"/>
        <v>0</v>
      </c>
      <c r="I7" s="182">
        <f t="shared" si="5"/>
        <v>0</v>
      </c>
      <c r="J7" s="175">
        <f t="shared" si="0"/>
        <v>0</v>
      </c>
      <c r="K7" s="187"/>
      <c r="L7" s="165"/>
      <c r="M7" s="191"/>
      <c r="N7" s="165"/>
      <c r="O7" s="165"/>
      <c r="P7" s="174">
        <f t="shared" si="6"/>
        <v>0</v>
      </c>
      <c r="Q7" s="182">
        <f t="shared" si="1"/>
        <v>0</v>
      </c>
      <c r="R7" s="175">
        <f t="shared" si="2"/>
        <v>0</v>
      </c>
      <c r="S7" s="255" t="s">
        <v>150</v>
      </c>
      <c r="T7" s="172" t="str">
        <f t="shared" si="3"/>
        <v>nee</v>
      </c>
      <c r="U7" s="173">
        <f t="shared" si="7"/>
        <v>0.442</v>
      </c>
      <c r="V7" s="176">
        <f t="shared" si="8"/>
        <v>0</v>
      </c>
      <c r="W7" s="175" t="str">
        <f t="shared" si="9"/>
        <v/>
      </c>
      <c r="X7" s="256"/>
      <c r="Y7" s="298"/>
    </row>
    <row r="8" spans="1:25" ht="15" customHeight="1" x14ac:dyDescent="0.25">
      <c r="A8" s="188" t="str">
        <f>IF(B8&lt;&gt;"&lt;Selecteer&gt;",MAX($A$4:A7)+1,"")</f>
        <v/>
      </c>
      <c r="B8" s="167" t="s">
        <v>35</v>
      </c>
      <c r="C8" s="179"/>
      <c r="D8" s="180"/>
      <c r="E8" s="181"/>
      <c r="F8" s="165"/>
      <c r="G8" s="165"/>
      <c r="H8" s="174">
        <f t="shared" si="4"/>
        <v>0</v>
      </c>
      <c r="I8" s="182">
        <f t="shared" si="5"/>
        <v>0</v>
      </c>
      <c r="J8" s="175">
        <f t="shared" si="0"/>
        <v>0</v>
      </c>
      <c r="K8" s="187"/>
      <c r="L8" s="165"/>
      <c r="M8" s="191"/>
      <c r="N8" s="165"/>
      <c r="O8" s="165"/>
      <c r="P8" s="174">
        <f t="shared" si="6"/>
        <v>0</v>
      </c>
      <c r="Q8" s="182">
        <f t="shared" si="1"/>
        <v>0</v>
      </c>
      <c r="R8" s="175">
        <f t="shared" si="2"/>
        <v>0</v>
      </c>
      <c r="S8" s="255" t="s">
        <v>150</v>
      </c>
      <c r="T8" s="172" t="str">
        <f t="shared" si="3"/>
        <v>nee</v>
      </c>
      <c r="U8" s="173">
        <f t="shared" si="7"/>
        <v>0.442</v>
      </c>
      <c r="V8" s="176">
        <f t="shared" si="8"/>
        <v>0</v>
      </c>
      <c r="W8" s="175" t="str">
        <f t="shared" si="9"/>
        <v/>
      </c>
      <c r="X8" s="256"/>
      <c r="Y8" s="298"/>
    </row>
    <row r="9" spans="1:25" ht="15" customHeight="1" x14ac:dyDescent="0.25">
      <c r="A9" s="188" t="str">
        <f>IF(B9&lt;&gt;"&lt;Selecteer&gt;",MAX($A$4:A8)+1,"")</f>
        <v/>
      </c>
      <c r="B9" s="167" t="s">
        <v>35</v>
      </c>
      <c r="C9" s="179"/>
      <c r="D9" s="180"/>
      <c r="E9" s="181"/>
      <c r="F9" s="165"/>
      <c r="G9" s="165"/>
      <c r="H9" s="174">
        <f t="shared" si="4"/>
        <v>0</v>
      </c>
      <c r="I9" s="182">
        <f t="shared" si="5"/>
        <v>0</v>
      </c>
      <c r="J9" s="175">
        <f t="shared" si="0"/>
        <v>0</v>
      </c>
      <c r="K9" s="187"/>
      <c r="L9" s="165"/>
      <c r="M9" s="191"/>
      <c r="N9" s="165"/>
      <c r="O9" s="165"/>
      <c r="P9" s="174">
        <f t="shared" si="6"/>
        <v>0</v>
      </c>
      <c r="Q9" s="182">
        <f t="shared" si="1"/>
        <v>0</v>
      </c>
      <c r="R9" s="175">
        <f t="shared" si="2"/>
        <v>0</v>
      </c>
      <c r="S9" s="255" t="s">
        <v>150</v>
      </c>
      <c r="T9" s="172" t="str">
        <f t="shared" si="3"/>
        <v>nee</v>
      </c>
      <c r="U9" s="173">
        <f t="shared" si="7"/>
        <v>0.442</v>
      </c>
      <c r="V9" s="176">
        <f t="shared" si="8"/>
        <v>0</v>
      </c>
      <c r="W9" s="175" t="str">
        <f t="shared" si="9"/>
        <v/>
      </c>
      <c r="X9" s="256"/>
      <c r="Y9" s="298"/>
    </row>
    <row r="10" spans="1:25" ht="15" customHeight="1" x14ac:dyDescent="0.25">
      <c r="A10" s="188" t="str">
        <f>IF(B10&lt;&gt;"&lt;Selecteer&gt;",MAX($A$4:A9)+1,"")</f>
        <v/>
      </c>
      <c r="B10" s="167" t="s">
        <v>35</v>
      </c>
      <c r="C10" s="179"/>
      <c r="D10" s="180"/>
      <c r="E10" s="181"/>
      <c r="F10" s="165"/>
      <c r="G10" s="165"/>
      <c r="H10" s="174">
        <f t="shared" si="4"/>
        <v>0</v>
      </c>
      <c r="I10" s="182">
        <f t="shared" si="5"/>
        <v>0</v>
      </c>
      <c r="J10" s="175">
        <f t="shared" si="0"/>
        <v>0</v>
      </c>
      <c r="K10" s="187"/>
      <c r="L10" s="165"/>
      <c r="M10" s="191"/>
      <c r="N10" s="165"/>
      <c r="O10" s="165"/>
      <c r="P10" s="174">
        <f t="shared" si="6"/>
        <v>0</v>
      </c>
      <c r="Q10" s="182">
        <f t="shared" si="1"/>
        <v>0</v>
      </c>
      <c r="R10" s="175">
        <f t="shared" si="2"/>
        <v>0</v>
      </c>
      <c r="S10" s="255" t="s">
        <v>150</v>
      </c>
      <c r="T10" s="172" t="str">
        <f t="shared" si="3"/>
        <v>nee</v>
      </c>
      <c r="U10" s="173">
        <f t="shared" si="7"/>
        <v>0.442</v>
      </c>
      <c r="V10" s="176">
        <f t="shared" si="8"/>
        <v>0</v>
      </c>
      <c r="W10" s="175" t="str">
        <f t="shared" si="9"/>
        <v/>
      </c>
      <c r="X10" s="256"/>
      <c r="Y10" s="298"/>
    </row>
    <row r="11" spans="1:25" ht="15" customHeight="1" x14ac:dyDescent="0.25">
      <c r="A11" s="188" t="str">
        <f>IF(B11&lt;&gt;"&lt;Selecteer&gt;",MAX($A$4:A10)+1,"")</f>
        <v/>
      </c>
      <c r="B11" s="167" t="s">
        <v>35</v>
      </c>
      <c r="C11" s="179"/>
      <c r="D11" s="180"/>
      <c r="E11" s="181"/>
      <c r="F11" s="165"/>
      <c r="G11" s="165"/>
      <c r="H11" s="174">
        <f t="shared" si="4"/>
        <v>0</v>
      </c>
      <c r="I11" s="182">
        <f t="shared" si="5"/>
        <v>0</v>
      </c>
      <c r="J11" s="175">
        <f t="shared" si="0"/>
        <v>0</v>
      </c>
      <c r="K11" s="187"/>
      <c r="L11" s="165"/>
      <c r="M11" s="191"/>
      <c r="N11" s="165"/>
      <c r="O11" s="165"/>
      <c r="P11" s="174">
        <f t="shared" si="6"/>
        <v>0</v>
      </c>
      <c r="Q11" s="182">
        <f t="shared" si="1"/>
        <v>0</v>
      </c>
      <c r="R11" s="175">
        <f t="shared" si="2"/>
        <v>0</v>
      </c>
      <c r="S11" s="255" t="s">
        <v>150</v>
      </c>
      <c r="T11" s="172" t="str">
        <f t="shared" si="3"/>
        <v>nee</v>
      </c>
      <c r="U11" s="173">
        <f t="shared" si="7"/>
        <v>0.442</v>
      </c>
      <c r="V11" s="176">
        <f t="shared" si="8"/>
        <v>0</v>
      </c>
      <c r="W11" s="175" t="str">
        <f t="shared" si="9"/>
        <v/>
      </c>
      <c r="X11" s="256"/>
      <c r="Y11" s="298"/>
    </row>
    <row r="12" spans="1:25" ht="15" customHeight="1" x14ac:dyDescent="0.25">
      <c r="A12" s="188" t="str">
        <f>IF(B12&lt;&gt;"&lt;Selecteer&gt;",MAX($A$4:A11)+1,"")</f>
        <v/>
      </c>
      <c r="B12" s="167" t="s">
        <v>35</v>
      </c>
      <c r="C12" s="179"/>
      <c r="D12" s="180"/>
      <c r="E12" s="181"/>
      <c r="F12" s="165"/>
      <c r="G12" s="165"/>
      <c r="H12" s="174">
        <f t="shared" si="4"/>
        <v>0</v>
      </c>
      <c r="I12" s="182">
        <f t="shared" si="5"/>
        <v>0</v>
      </c>
      <c r="J12" s="175">
        <f t="shared" si="0"/>
        <v>0</v>
      </c>
      <c r="K12" s="187"/>
      <c r="L12" s="165"/>
      <c r="M12" s="191"/>
      <c r="N12" s="165"/>
      <c r="O12" s="165"/>
      <c r="P12" s="174">
        <f t="shared" si="6"/>
        <v>0</v>
      </c>
      <c r="Q12" s="182">
        <f t="shared" si="1"/>
        <v>0</v>
      </c>
      <c r="R12" s="175">
        <f t="shared" si="2"/>
        <v>0</v>
      </c>
      <c r="S12" s="255" t="s">
        <v>150</v>
      </c>
      <c r="T12" s="172" t="str">
        <f t="shared" si="3"/>
        <v>nee</v>
      </c>
      <c r="U12" s="173">
        <f t="shared" si="7"/>
        <v>0.442</v>
      </c>
      <c r="V12" s="176">
        <f t="shared" si="8"/>
        <v>0</v>
      </c>
      <c r="W12" s="175" t="str">
        <f t="shared" si="9"/>
        <v/>
      </c>
      <c r="X12" s="256"/>
      <c r="Y12" s="298"/>
    </row>
    <row r="13" spans="1:25" ht="15" customHeight="1" x14ac:dyDescent="0.25">
      <c r="A13" s="188" t="str">
        <f>IF(B13&lt;&gt;"&lt;Selecteer&gt;",MAX($A$4:A12)+1,"")</f>
        <v/>
      </c>
      <c r="B13" s="167" t="s">
        <v>35</v>
      </c>
      <c r="C13" s="179"/>
      <c r="D13" s="180"/>
      <c r="E13" s="181"/>
      <c r="F13" s="165"/>
      <c r="G13" s="165"/>
      <c r="H13" s="174">
        <f t="shared" si="4"/>
        <v>0</v>
      </c>
      <c r="I13" s="182">
        <f t="shared" si="5"/>
        <v>0</v>
      </c>
      <c r="J13" s="175">
        <f t="shared" si="0"/>
        <v>0</v>
      </c>
      <c r="K13" s="187"/>
      <c r="L13" s="165"/>
      <c r="M13" s="191"/>
      <c r="N13" s="165"/>
      <c r="O13" s="165"/>
      <c r="P13" s="174">
        <f t="shared" si="6"/>
        <v>0</v>
      </c>
      <c r="Q13" s="182">
        <f t="shared" si="1"/>
        <v>0</v>
      </c>
      <c r="R13" s="175">
        <f t="shared" si="2"/>
        <v>0</v>
      </c>
      <c r="S13" s="255" t="s">
        <v>150</v>
      </c>
      <c r="T13" s="172" t="str">
        <f t="shared" si="3"/>
        <v>nee</v>
      </c>
      <c r="U13" s="173">
        <f t="shared" si="7"/>
        <v>0.442</v>
      </c>
      <c r="V13" s="176">
        <f t="shared" si="8"/>
        <v>0</v>
      </c>
      <c r="W13" s="175" t="str">
        <f t="shared" si="9"/>
        <v/>
      </c>
      <c r="X13" s="256"/>
      <c r="Y13" s="298"/>
    </row>
    <row r="14" spans="1:25" ht="15" customHeight="1" x14ac:dyDescent="0.25">
      <c r="A14" s="188" t="str">
        <f>IF(B14&lt;&gt;"&lt;Selecteer&gt;",MAX($A$4:A13)+1,"")</f>
        <v/>
      </c>
      <c r="B14" s="167" t="s">
        <v>35</v>
      </c>
      <c r="C14" s="179"/>
      <c r="D14" s="180"/>
      <c r="E14" s="181"/>
      <c r="F14" s="165"/>
      <c r="G14" s="165"/>
      <c r="H14" s="174">
        <f t="shared" si="4"/>
        <v>0</v>
      </c>
      <c r="I14" s="182">
        <f t="shared" si="5"/>
        <v>0</v>
      </c>
      <c r="J14" s="175">
        <f t="shared" si="0"/>
        <v>0</v>
      </c>
      <c r="K14" s="187"/>
      <c r="L14" s="165"/>
      <c r="M14" s="191"/>
      <c r="N14" s="165"/>
      <c r="O14" s="165"/>
      <c r="P14" s="174">
        <f t="shared" si="6"/>
        <v>0</v>
      </c>
      <c r="Q14" s="182">
        <f t="shared" si="1"/>
        <v>0</v>
      </c>
      <c r="R14" s="175">
        <f t="shared" si="2"/>
        <v>0</v>
      </c>
      <c r="S14" s="255" t="s">
        <v>150</v>
      </c>
      <c r="T14" s="172" t="str">
        <f t="shared" si="3"/>
        <v>nee</v>
      </c>
      <c r="U14" s="173">
        <f t="shared" si="7"/>
        <v>0.442</v>
      </c>
      <c r="V14" s="176">
        <f t="shared" si="8"/>
        <v>0</v>
      </c>
      <c r="W14" s="175" t="str">
        <f t="shared" si="9"/>
        <v/>
      </c>
      <c r="X14" s="256"/>
      <c r="Y14" s="298"/>
    </row>
    <row r="15" spans="1:25" ht="15" customHeight="1" x14ac:dyDescent="0.25">
      <c r="A15" s="188" t="str">
        <f>IF(B15&lt;&gt;"&lt;Selecteer&gt;",MAX($A$4:A14)+1,"")</f>
        <v/>
      </c>
      <c r="B15" s="167" t="s">
        <v>35</v>
      </c>
      <c r="C15" s="179"/>
      <c r="D15" s="180"/>
      <c r="E15" s="181"/>
      <c r="F15" s="165"/>
      <c r="G15" s="165"/>
      <c r="H15" s="174">
        <f t="shared" si="4"/>
        <v>0</v>
      </c>
      <c r="I15" s="182">
        <f t="shared" si="5"/>
        <v>0</v>
      </c>
      <c r="J15" s="175">
        <f t="shared" si="0"/>
        <v>0</v>
      </c>
      <c r="K15" s="187"/>
      <c r="L15" s="165"/>
      <c r="M15" s="191"/>
      <c r="N15" s="165"/>
      <c r="O15" s="165"/>
      <c r="P15" s="174">
        <f t="shared" si="6"/>
        <v>0</v>
      </c>
      <c r="Q15" s="182">
        <f t="shared" si="1"/>
        <v>0</v>
      </c>
      <c r="R15" s="175">
        <f t="shared" si="2"/>
        <v>0</v>
      </c>
      <c r="S15" s="255" t="s">
        <v>150</v>
      </c>
      <c r="T15" s="172" t="str">
        <f t="shared" si="3"/>
        <v>nee</v>
      </c>
      <c r="U15" s="173">
        <f t="shared" si="7"/>
        <v>0.442</v>
      </c>
      <c r="V15" s="176">
        <f t="shared" si="8"/>
        <v>0</v>
      </c>
      <c r="W15" s="175" t="str">
        <f t="shared" si="9"/>
        <v/>
      </c>
      <c r="X15" s="256"/>
      <c r="Y15" s="298"/>
    </row>
    <row r="16" spans="1:25" ht="15" customHeight="1" x14ac:dyDescent="0.25">
      <c r="A16" s="188" t="str">
        <f>IF(B16&lt;&gt;"&lt;Selecteer&gt;",MAX($A$4:A15)+1,"")</f>
        <v/>
      </c>
      <c r="B16" s="167" t="s">
        <v>35</v>
      </c>
      <c r="C16" s="179"/>
      <c r="D16" s="180"/>
      <c r="E16" s="181"/>
      <c r="F16" s="165"/>
      <c r="G16" s="165"/>
      <c r="H16" s="174">
        <f t="shared" si="4"/>
        <v>0</v>
      </c>
      <c r="I16" s="182">
        <f t="shared" si="5"/>
        <v>0</v>
      </c>
      <c r="J16" s="175">
        <f t="shared" si="0"/>
        <v>0</v>
      </c>
      <c r="K16" s="187"/>
      <c r="L16" s="165"/>
      <c r="M16" s="191"/>
      <c r="N16" s="165"/>
      <c r="O16" s="165"/>
      <c r="P16" s="174">
        <f t="shared" si="6"/>
        <v>0</v>
      </c>
      <c r="Q16" s="182">
        <f t="shared" si="1"/>
        <v>0</v>
      </c>
      <c r="R16" s="175">
        <f t="shared" si="2"/>
        <v>0</v>
      </c>
      <c r="S16" s="255" t="s">
        <v>150</v>
      </c>
      <c r="T16" s="172" t="str">
        <f t="shared" si="3"/>
        <v>nee</v>
      </c>
      <c r="U16" s="173">
        <f t="shared" si="7"/>
        <v>0.442</v>
      </c>
      <c r="V16" s="176">
        <f t="shared" si="8"/>
        <v>0</v>
      </c>
      <c r="W16" s="175" t="str">
        <f t="shared" si="9"/>
        <v/>
      </c>
      <c r="X16" s="256"/>
      <c r="Y16" s="298"/>
    </row>
    <row r="17" spans="1:25" ht="15" customHeight="1" x14ac:dyDescent="0.25">
      <c r="A17" s="188" t="str">
        <f>IF(B17&lt;&gt;"&lt;Selecteer&gt;",MAX($A$4:A16)+1,"")</f>
        <v/>
      </c>
      <c r="B17" s="167" t="s">
        <v>35</v>
      </c>
      <c r="C17" s="179"/>
      <c r="D17" s="180"/>
      <c r="E17" s="181"/>
      <c r="F17" s="165"/>
      <c r="G17" s="165"/>
      <c r="H17" s="174">
        <f t="shared" si="4"/>
        <v>0</v>
      </c>
      <c r="I17" s="182">
        <f t="shared" si="5"/>
        <v>0</v>
      </c>
      <c r="J17" s="175">
        <f t="shared" si="0"/>
        <v>0</v>
      </c>
      <c r="K17" s="187"/>
      <c r="L17" s="165"/>
      <c r="M17" s="191"/>
      <c r="N17" s="165"/>
      <c r="O17" s="165"/>
      <c r="P17" s="174">
        <f t="shared" si="6"/>
        <v>0</v>
      </c>
      <c r="Q17" s="182">
        <f t="shared" si="1"/>
        <v>0</v>
      </c>
      <c r="R17" s="175">
        <f t="shared" si="2"/>
        <v>0</v>
      </c>
      <c r="S17" s="255" t="s">
        <v>150</v>
      </c>
      <c r="T17" s="172" t="str">
        <f t="shared" si="3"/>
        <v>nee</v>
      </c>
      <c r="U17" s="173">
        <f t="shared" si="7"/>
        <v>0.442</v>
      </c>
      <c r="V17" s="176">
        <f t="shared" si="8"/>
        <v>0</v>
      </c>
      <c r="W17" s="175" t="str">
        <f t="shared" si="9"/>
        <v/>
      </c>
      <c r="X17" s="256"/>
      <c r="Y17" s="298"/>
    </row>
    <row r="18" spans="1:25" ht="15" customHeight="1" x14ac:dyDescent="0.25">
      <c r="A18" s="188" t="str">
        <f>IF(B18&lt;&gt;"&lt;Selecteer&gt;",MAX($A$4:A17)+1,"")</f>
        <v/>
      </c>
      <c r="B18" s="167" t="s">
        <v>35</v>
      </c>
      <c r="C18" s="179"/>
      <c r="D18" s="180"/>
      <c r="E18" s="181"/>
      <c r="F18" s="165"/>
      <c r="G18" s="165"/>
      <c r="H18" s="174">
        <f t="shared" si="4"/>
        <v>0</v>
      </c>
      <c r="I18" s="182">
        <f t="shared" si="5"/>
        <v>0</v>
      </c>
      <c r="J18" s="175">
        <f t="shared" si="0"/>
        <v>0</v>
      </c>
      <c r="K18" s="187"/>
      <c r="L18" s="165"/>
      <c r="M18" s="191"/>
      <c r="N18" s="165"/>
      <c r="O18" s="165"/>
      <c r="P18" s="174">
        <f t="shared" si="6"/>
        <v>0</v>
      </c>
      <c r="Q18" s="182">
        <f t="shared" si="1"/>
        <v>0</v>
      </c>
      <c r="R18" s="175">
        <f t="shared" si="2"/>
        <v>0</v>
      </c>
      <c r="S18" s="255" t="s">
        <v>150</v>
      </c>
      <c r="T18" s="172" t="str">
        <f t="shared" si="3"/>
        <v>nee</v>
      </c>
      <c r="U18" s="173">
        <f t="shared" si="7"/>
        <v>0.442</v>
      </c>
      <c r="V18" s="176">
        <f t="shared" si="8"/>
        <v>0</v>
      </c>
      <c r="W18" s="175" t="str">
        <f t="shared" si="9"/>
        <v/>
      </c>
      <c r="X18" s="256"/>
      <c r="Y18" s="298"/>
    </row>
    <row r="19" spans="1:25" ht="15" customHeight="1" x14ac:dyDescent="0.25">
      <c r="A19" s="188" t="str">
        <f>IF(B19&lt;&gt;"&lt;Selecteer&gt;",MAX($A$4:A18)+1,"")</f>
        <v/>
      </c>
      <c r="B19" s="167" t="s">
        <v>35</v>
      </c>
      <c r="C19" s="179"/>
      <c r="D19" s="180"/>
      <c r="E19" s="181"/>
      <c r="F19" s="165"/>
      <c r="G19" s="165"/>
      <c r="H19" s="174">
        <f t="shared" si="4"/>
        <v>0</v>
      </c>
      <c r="I19" s="182">
        <f t="shared" si="5"/>
        <v>0</v>
      </c>
      <c r="J19" s="175">
        <f t="shared" si="0"/>
        <v>0</v>
      </c>
      <c r="K19" s="187"/>
      <c r="L19" s="165"/>
      <c r="M19" s="191"/>
      <c r="N19" s="165"/>
      <c r="O19" s="165"/>
      <c r="P19" s="174">
        <f t="shared" si="6"/>
        <v>0</v>
      </c>
      <c r="Q19" s="182">
        <f t="shared" si="1"/>
        <v>0</v>
      </c>
      <c r="R19" s="175">
        <f t="shared" si="2"/>
        <v>0</v>
      </c>
      <c r="S19" s="255" t="s">
        <v>150</v>
      </c>
      <c r="T19" s="172" t="str">
        <f t="shared" si="3"/>
        <v>nee</v>
      </c>
      <c r="U19" s="173">
        <f t="shared" si="7"/>
        <v>0.442</v>
      </c>
      <c r="V19" s="176">
        <f t="shared" si="8"/>
        <v>0</v>
      </c>
      <c r="W19" s="175" t="str">
        <f t="shared" si="9"/>
        <v/>
      </c>
      <c r="X19" s="256"/>
      <c r="Y19" s="298"/>
    </row>
    <row r="20" spans="1:25" ht="15" customHeight="1" x14ac:dyDescent="0.25">
      <c r="A20" s="188" t="str">
        <f>IF(B20&lt;&gt;"&lt;Selecteer&gt;",MAX($A$4:A19)+1,"")</f>
        <v/>
      </c>
      <c r="B20" s="167" t="s">
        <v>35</v>
      </c>
      <c r="C20" s="179"/>
      <c r="D20" s="180"/>
      <c r="E20" s="181"/>
      <c r="F20" s="165"/>
      <c r="G20" s="165"/>
      <c r="H20" s="174">
        <f t="shared" si="4"/>
        <v>0</v>
      </c>
      <c r="I20" s="182">
        <f t="shared" si="5"/>
        <v>0</v>
      </c>
      <c r="J20" s="175">
        <f t="shared" si="0"/>
        <v>0</v>
      </c>
      <c r="K20" s="187"/>
      <c r="L20" s="165"/>
      <c r="M20" s="191"/>
      <c r="N20" s="165"/>
      <c r="O20" s="165"/>
      <c r="P20" s="174">
        <f t="shared" si="6"/>
        <v>0</v>
      </c>
      <c r="Q20" s="182">
        <f t="shared" si="1"/>
        <v>0</v>
      </c>
      <c r="R20" s="175">
        <f t="shared" si="2"/>
        <v>0</v>
      </c>
      <c r="S20" s="255" t="s">
        <v>150</v>
      </c>
      <c r="T20" s="172" t="str">
        <f t="shared" si="3"/>
        <v>nee</v>
      </c>
      <c r="U20" s="173">
        <f t="shared" si="7"/>
        <v>0.442</v>
      </c>
      <c r="V20" s="176">
        <f t="shared" si="8"/>
        <v>0</v>
      </c>
      <c r="W20" s="175" t="str">
        <f t="shared" si="9"/>
        <v/>
      </c>
      <c r="X20" s="256"/>
      <c r="Y20" s="298"/>
    </row>
    <row r="21" spans="1:25" ht="15" customHeight="1" x14ac:dyDescent="0.25">
      <c r="A21" s="188" t="str">
        <f>IF(B21&lt;&gt;"&lt;Selecteer&gt;",MAX($A$4:A20)+1,"")</f>
        <v/>
      </c>
      <c r="B21" s="167" t="s">
        <v>35</v>
      </c>
      <c r="C21" s="179"/>
      <c r="D21" s="180"/>
      <c r="E21" s="181"/>
      <c r="F21" s="165"/>
      <c r="G21" s="165"/>
      <c r="H21" s="174">
        <f t="shared" si="4"/>
        <v>0</v>
      </c>
      <c r="I21" s="182">
        <f t="shared" si="5"/>
        <v>0</v>
      </c>
      <c r="J21" s="175">
        <f t="shared" si="0"/>
        <v>0</v>
      </c>
      <c r="K21" s="187"/>
      <c r="L21" s="165"/>
      <c r="M21" s="191"/>
      <c r="N21" s="165"/>
      <c r="O21" s="165"/>
      <c r="P21" s="174">
        <f t="shared" si="6"/>
        <v>0</v>
      </c>
      <c r="Q21" s="182">
        <f t="shared" si="1"/>
        <v>0</v>
      </c>
      <c r="R21" s="175">
        <f t="shared" si="2"/>
        <v>0</v>
      </c>
      <c r="S21" s="255" t="s">
        <v>150</v>
      </c>
      <c r="T21" s="172" t="str">
        <f t="shared" si="3"/>
        <v>nee</v>
      </c>
      <c r="U21" s="173">
        <f t="shared" si="7"/>
        <v>0.442</v>
      </c>
      <c r="V21" s="176">
        <f t="shared" si="8"/>
        <v>0</v>
      </c>
      <c r="W21" s="175" t="str">
        <f t="shared" si="9"/>
        <v/>
      </c>
      <c r="X21" s="256"/>
      <c r="Y21" s="298"/>
    </row>
    <row r="22" spans="1:25" ht="15" customHeight="1" x14ac:dyDescent="0.25">
      <c r="A22" s="188" t="str">
        <f>IF(B22&lt;&gt;"&lt;Selecteer&gt;",MAX($A$4:A21)+1,"")</f>
        <v/>
      </c>
      <c r="B22" s="167" t="s">
        <v>35</v>
      </c>
      <c r="C22" s="179"/>
      <c r="D22" s="180"/>
      <c r="E22" s="181"/>
      <c r="F22" s="165"/>
      <c r="G22" s="165"/>
      <c r="H22" s="174">
        <f t="shared" si="4"/>
        <v>0</v>
      </c>
      <c r="I22" s="182">
        <f t="shared" si="5"/>
        <v>0</v>
      </c>
      <c r="J22" s="175">
        <f t="shared" si="0"/>
        <v>0</v>
      </c>
      <c r="K22" s="187"/>
      <c r="L22" s="165"/>
      <c r="M22" s="191"/>
      <c r="N22" s="165"/>
      <c r="O22" s="165"/>
      <c r="P22" s="174">
        <f t="shared" si="6"/>
        <v>0</v>
      </c>
      <c r="Q22" s="182">
        <f t="shared" si="1"/>
        <v>0</v>
      </c>
      <c r="R22" s="175">
        <f t="shared" si="2"/>
        <v>0</v>
      </c>
      <c r="S22" s="255" t="s">
        <v>150</v>
      </c>
      <c r="T22" s="172" t="str">
        <f t="shared" si="3"/>
        <v>nee</v>
      </c>
      <c r="U22" s="173">
        <f t="shared" si="7"/>
        <v>0.442</v>
      </c>
      <c r="V22" s="176">
        <f t="shared" si="8"/>
        <v>0</v>
      </c>
      <c r="W22" s="175" t="str">
        <f t="shared" si="9"/>
        <v/>
      </c>
      <c r="X22" s="256"/>
      <c r="Y22" s="298"/>
    </row>
    <row r="23" spans="1:25" ht="15" customHeight="1" x14ac:dyDescent="0.25">
      <c r="A23" s="188" t="str">
        <f>IF(B23&lt;&gt;"&lt;Selecteer&gt;",MAX($A$4:A22)+1,"")</f>
        <v/>
      </c>
      <c r="B23" s="167" t="s">
        <v>35</v>
      </c>
      <c r="C23" s="179"/>
      <c r="D23" s="180"/>
      <c r="E23" s="181"/>
      <c r="F23" s="165"/>
      <c r="G23" s="165"/>
      <c r="H23" s="174">
        <f t="shared" si="4"/>
        <v>0</v>
      </c>
      <c r="I23" s="182">
        <f t="shared" si="5"/>
        <v>0</v>
      </c>
      <c r="J23" s="175">
        <f t="shared" si="0"/>
        <v>0</v>
      </c>
      <c r="K23" s="187"/>
      <c r="L23" s="165"/>
      <c r="M23" s="191"/>
      <c r="N23" s="165"/>
      <c r="O23" s="165"/>
      <c r="P23" s="174">
        <f t="shared" si="6"/>
        <v>0</v>
      </c>
      <c r="Q23" s="182">
        <f t="shared" si="1"/>
        <v>0</v>
      </c>
      <c r="R23" s="175">
        <f t="shared" si="2"/>
        <v>0</v>
      </c>
      <c r="S23" s="255" t="s">
        <v>150</v>
      </c>
      <c r="T23" s="172" t="str">
        <f t="shared" si="3"/>
        <v>nee</v>
      </c>
      <c r="U23" s="173">
        <f t="shared" si="7"/>
        <v>0.442</v>
      </c>
      <c r="V23" s="176">
        <f t="shared" si="8"/>
        <v>0</v>
      </c>
      <c r="W23" s="175" t="str">
        <f t="shared" si="9"/>
        <v/>
      </c>
      <c r="X23" s="256"/>
      <c r="Y23" s="298"/>
    </row>
    <row r="24" spans="1:25" ht="15" customHeight="1" x14ac:dyDescent="0.25">
      <c r="A24" s="188" t="str">
        <f>IF(B24&lt;&gt;"&lt;Selecteer&gt;",MAX($A$4:A23)+1,"")</f>
        <v/>
      </c>
      <c r="B24" s="167" t="s">
        <v>35</v>
      </c>
      <c r="C24" s="179"/>
      <c r="D24" s="180"/>
      <c r="E24" s="181"/>
      <c r="F24" s="165"/>
      <c r="G24" s="165"/>
      <c r="H24" s="174">
        <f t="shared" si="4"/>
        <v>0</v>
      </c>
      <c r="I24" s="182">
        <f t="shared" si="5"/>
        <v>0</v>
      </c>
      <c r="J24" s="175">
        <f t="shared" si="0"/>
        <v>0</v>
      </c>
      <c r="K24" s="187"/>
      <c r="L24" s="165"/>
      <c r="M24" s="191"/>
      <c r="N24" s="165"/>
      <c r="O24" s="165"/>
      <c r="P24" s="174">
        <f t="shared" si="6"/>
        <v>0</v>
      </c>
      <c r="Q24" s="182">
        <f t="shared" si="1"/>
        <v>0</v>
      </c>
      <c r="R24" s="175">
        <f t="shared" si="2"/>
        <v>0</v>
      </c>
      <c r="S24" s="255" t="s">
        <v>150</v>
      </c>
      <c r="T24" s="172" t="str">
        <f t="shared" si="3"/>
        <v>nee</v>
      </c>
      <c r="U24" s="173">
        <f t="shared" si="7"/>
        <v>0.442</v>
      </c>
      <c r="V24" s="176">
        <f t="shared" si="8"/>
        <v>0</v>
      </c>
      <c r="W24" s="175" t="str">
        <f t="shared" si="9"/>
        <v/>
      </c>
      <c r="X24" s="256"/>
      <c r="Y24" s="298"/>
    </row>
    <row r="25" spans="1:25" ht="15" customHeight="1" x14ac:dyDescent="0.25">
      <c r="A25" s="188" t="str">
        <f>IF(B25&lt;&gt;"&lt;Selecteer&gt;",MAX($A$4:A24)+1,"")</f>
        <v/>
      </c>
      <c r="B25" s="167" t="s">
        <v>35</v>
      </c>
      <c r="C25" s="179"/>
      <c r="D25" s="180"/>
      <c r="E25" s="181"/>
      <c r="F25" s="165"/>
      <c r="G25" s="165"/>
      <c r="H25" s="174">
        <f t="shared" si="4"/>
        <v>0</v>
      </c>
      <c r="I25" s="182">
        <f t="shared" si="5"/>
        <v>0</v>
      </c>
      <c r="J25" s="175">
        <f t="shared" si="0"/>
        <v>0</v>
      </c>
      <c r="K25" s="187"/>
      <c r="L25" s="165"/>
      <c r="M25" s="191"/>
      <c r="N25" s="165"/>
      <c r="O25" s="165"/>
      <c r="P25" s="174">
        <f t="shared" si="6"/>
        <v>0</v>
      </c>
      <c r="Q25" s="182">
        <f t="shared" si="1"/>
        <v>0</v>
      </c>
      <c r="R25" s="175">
        <f t="shared" si="2"/>
        <v>0</v>
      </c>
      <c r="S25" s="255" t="s">
        <v>150</v>
      </c>
      <c r="T25" s="172" t="str">
        <f t="shared" si="3"/>
        <v>nee</v>
      </c>
      <c r="U25" s="173">
        <f t="shared" si="7"/>
        <v>0.442</v>
      </c>
      <c r="V25" s="176">
        <f t="shared" si="8"/>
        <v>0</v>
      </c>
      <c r="W25" s="175" t="str">
        <f t="shared" si="9"/>
        <v/>
      </c>
      <c r="X25" s="256"/>
      <c r="Y25" s="298"/>
    </row>
    <row r="26" spans="1:25" ht="15" customHeight="1" x14ac:dyDescent="0.25">
      <c r="A26" s="188" t="str">
        <f>IF(B26&lt;&gt;"&lt;Selecteer&gt;",MAX($A$4:A25)+1,"")</f>
        <v/>
      </c>
      <c r="B26" s="167" t="s">
        <v>35</v>
      </c>
      <c r="C26" s="179"/>
      <c r="D26" s="180"/>
      <c r="E26" s="181"/>
      <c r="F26" s="165"/>
      <c r="G26" s="165"/>
      <c r="H26" s="174">
        <f t="shared" si="4"/>
        <v>0</v>
      </c>
      <c r="I26" s="182">
        <f t="shared" si="5"/>
        <v>0</v>
      </c>
      <c r="J26" s="175">
        <f t="shared" si="0"/>
        <v>0</v>
      </c>
      <c r="K26" s="187"/>
      <c r="L26" s="165"/>
      <c r="M26" s="191"/>
      <c r="N26" s="165"/>
      <c r="O26" s="165"/>
      <c r="P26" s="174">
        <f t="shared" si="6"/>
        <v>0</v>
      </c>
      <c r="Q26" s="182">
        <f t="shared" si="1"/>
        <v>0</v>
      </c>
      <c r="R26" s="175">
        <f t="shared" si="2"/>
        <v>0</v>
      </c>
      <c r="S26" s="255" t="s">
        <v>150</v>
      </c>
      <c r="T26" s="172" t="str">
        <f t="shared" si="3"/>
        <v>nee</v>
      </c>
      <c r="U26" s="173">
        <f t="shared" si="7"/>
        <v>0.442</v>
      </c>
      <c r="V26" s="176">
        <f t="shared" si="8"/>
        <v>0</v>
      </c>
      <c r="W26" s="175" t="str">
        <f t="shared" si="9"/>
        <v/>
      </c>
      <c r="X26" s="256"/>
      <c r="Y26" s="298"/>
    </row>
    <row r="27" spans="1:25" ht="15" customHeight="1" x14ac:dyDescent="0.25">
      <c r="A27" s="188" t="str">
        <f>IF(B27&lt;&gt;"&lt;Selecteer&gt;",MAX($A$4:A26)+1,"")</f>
        <v/>
      </c>
      <c r="B27" s="167" t="s">
        <v>35</v>
      </c>
      <c r="C27" s="179"/>
      <c r="D27" s="180"/>
      <c r="E27" s="181"/>
      <c r="F27" s="165"/>
      <c r="G27" s="165"/>
      <c r="H27" s="174">
        <f t="shared" si="4"/>
        <v>0</v>
      </c>
      <c r="I27" s="182">
        <f t="shared" si="5"/>
        <v>0</v>
      </c>
      <c r="J27" s="175">
        <f t="shared" si="0"/>
        <v>0</v>
      </c>
      <c r="K27" s="187"/>
      <c r="L27" s="165"/>
      <c r="M27" s="191"/>
      <c r="N27" s="165"/>
      <c r="O27" s="165"/>
      <c r="P27" s="174">
        <f t="shared" si="6"/>
        <v>0</v>
      </c>
      <c r="Q27" s="182">
        <f t="shared" si="1"/>
        <v>0</v>
      </c>
      <c r="R27" s="175">
        <f t="shared" si="2"/>
        <v>0</v>
      </c>
      <c r="S27" s="255" t="s">
        <v>150</v>
      </c>
      <c r="T27" s="172" t="str">
        <f t="shared" si="3"/>
        <v>nee</v>
      </c>
      <c r="U27" s="173">
        <f t="shared" si="7"/>
        <v>0.442</v>
      </c>
      <c r="V27" s="176">
        <f t="shared" si="8"/>
        <v>0</v>
      </c>
      <c r="W27" s="175" t="str">
        <f t="shared" si="9"/>
        <v/>
      </c>
      <c r="X27" s="256"/>
      <c r="Y27" s="298"/>
    </row>
    <row r="28" spans="1:25" ht="15" customHeight="1" x14ac:dyDescent="0.25">
      <c r="A28" s="188" t="str">
        <f>IF(B28&lt;&gt;"&lt;Selecteer&gt;",MAX($A$4:A27)+1,"")</f>
        <v/>
      </c>
      <c r="B28" s="167" t="s">
        <v>35</v>
      </c>
      <c r="C28" s="179"/>
      <c r="D28" s="180"/>
      <c r="E28" s="181"/>
      <c r="F28" s="165"/>
      <c r="G28" s="165"/>
      <c r="H28" s="174">
        <f t="shared" si="4"/>
        <v>0</v>
      </c>
      <c r="I28" s="182">
        <f t="shared" si="5"/>
        <v>0</v>
      </c>
      <c r="J28" s="175">
        <f t="shared" si="0"/>
        <v>0</v>
      </c>
      <c r="K28" s="187"/>
      <c r="L28" s="165"/>
      <c r="M28" s="191"/>
      <c r="N28" s="165"/>
      <c r="O28" s="165"/>
      <c r="P28" s="174">
        <f t="shared" si="6"/>
        <v>0</v>
      </c>
      <c r="Q28" s="182">
        <f t="shared" si="1"/>
        <v>0</v>
      </c>
      <c r="R28" s="175">
        <f t="shared" si="2"/>
        <v>0</v>
      </c>
      <c r="S28" s="255" t="s">
        <v>150</v>
      </c>
      <c r="T28" s="172" t="str">
        <f t="shared" si="3"/>
        <v>nee</v>
      </c>
      <c r="U28" s="173">
        <f t="shared" si="7"/>
        <v>0.442</v>
      </c>
      <c r="V28" s="176">
        <f t="shared" si="8"/>
        <v>0</v>
      </c>
      <c r="W28" s="175" t="str">
        <f t="shared" si="9"/>
        <v/>
      </c>
      <c r="X28" s="256"/>
      <c r="Y28" s="298"/>
    </row>
    <row r="29" spans="1:25" ht="15" customHeight="1" x14ac:dyDescent="0.25">
      <c r="A29" s="188" t="str">
        <f>IF(B29&lt;&gt;"&lt;Selecteer&gt;",MAX($A$4:A28)+1,"")</f>
        <v/>
      </c>
      <c r="B29" s="167" t="s">
        <v>35</v>
      </c>
      <c r="C29" s="179"/>
      <c r="D29" s="180"/>
      <c r="E29" s="181"/>
      <c r="F29" s="165"/>
      <c r="G29" s="165"/>
      <c r="H29" s="174">
        <f t="shared" si="4"/>
        <v>0</v>
      </c>
      <c r="I29" s="182">
        <f t="shared" si="5"/>
        <v>0</v>
      </c>
      <c r="J29" s="175">
        <f t="shared" si="0"/>
        <v>0</v>
      </c>
      <c r="K29" s="187"/>
      <c r="L29" s="165"/>
      <c r="M29" s="191"/>
      <c r="N29" s="165"/>
      <c r="O29" s="165"/>
      <c r="P29" s="174">
        <f t="shared" si="6"/>
        <v>0</v>
      </c>
      <c r="Q29" s="182">
        <f t="shared" si="1"/>
        <v>0</v>
      </c>
      <c r="R29" s="175">
        <f t="shared" si="2"/>
        <v>0</v>
      </c>
      <c r="S29" s="255" t="s">
        <v>150</v>
      </c>
      <c r="T29" s="172" t="str">
        <f t="shared" si="3"/>
        <v>nee</v>
      </c>
      <c r="U29" s="173">
        <f t="shared" si="7"/>
        <v>0.442</v>
      </c>
      <c r="V29" s="176">
        <f t="shared" si="8"/>
        <v>0</v>
      </c>
      <c r="W29" s="175" t="str">
        <f t="shared" si="9"/>
        <v/>
      </c>
      <c r="X29" s="256"/>
      <c r="Y29" s="298"/>
    </row>
    <row r="30" spans="1:25" ht="15" customHeight="1" x14ac:dyDescent="0.25">
      <c r="A30" s="188" t="str">
        <f>IF(B30&lt;&gt;"&lt;Selecteer&gt;",MAX($A$4:A29)+1,"")</f>
        <v/>
      </c>
      <c r="B30" s="167" t="s">
        <v>35</v>
      </c>
      <c r="C30" s="179"/>
      <c r="D30" s="180"/>
      <c r="E30" s="181"/>
      <c r="F30" s="165"/>
      <c r="G30" s="165"/>
      <c r="H30" s="174">
        <f t="shared" si="4"/>
        <v>0</v>
      </c>
      <c r="I30" s="182">
        <f t="shared" si="5"/>
        <v>0</v>
      </c>
      <c r="J30" s="175">
        <f t="shared" si="0"/>
        <v>0</v>
      </c>
      <c r="K30" s="187"/>
      <c r="L30" s="165"/>
      <c r="M30" s="191"/>
      <c r="N30" s="165"/>
      <c r="O30" s="165"/>
      <c r="P30" s="174">
        <f t="shared" si="6"/>
        <v>0</v>
      </c>
      <c r="Q30" s="182">
        <f t="shared" si="1"/>
        <v>0</v>
      </c>
      <c r="R30" s="175">
        <f t="shared" si="2"/>
        <v>0</v>
      </c>
      <c r="S30" s="255" t="s">
        <v>150</v>
      </c>
      <c r="T30" s="172" t="str">
        <f t="shared" si="3"/>
        <v>nee</v>
      </c>
      <c r="U30" s="173">
        <f t="shared" si="7"/>
        <v>0.442</v>
      </c>
      <c r="V30" s="176">
        <f t="shared" si="8"/>
        <v>0</v>
      </c>
      <c r="W30" s="175" t="str">
        <f t="shared" si="9"/>
        <v/>
      </c>
      <c r="X30" s="256"/>
      <c r="Y30" s="298"/>
    </row>
    <row r="31" spans="1:25" ht="15" customHeight="1" x14ac:dyDescent="0.25">
      <c r="A31" s="188" t="str">
        <f>IF(B31&lt;&gt;"&lt;Selecteer&gt;",MAX($A$4:A30)+1,"")</f>
        <v/>
      </c>
      <c r="B31" s="167" t="s">
        <v>35</v>
      </c>
      <c r="C31" s="179"/>
      <c r="D31" s="180"/>
      <c r="E31" s="181"/>
      <c r="F31" s="165"/>
      <c r="G31" s="165"/>
      <c r="H31" s="174">
        <f t="shared" si="4"/>
        <v>0</v>
      </c>
      <c r="I31" s="182">
        <f t="shared" si="5"/>
        <v>0</v>
      </c>
      <c r="J31" s="175">
        <f t="shared" si="0"/>
        <v>0</v>
      </c>
      <c r="K31" s="187"/>
      <c r="L31" s="165"/>
      <c r="M31" s="191"/>
      <c r="N31" s="165"/>
      <c r="O31" s="165"/>
      <c r="P31" s="174">
        <f t="shared" si="6"/>
        <v>0</v>
      </c>
      <c r="Q31" s="182">
        <f t="shared" si="1"/>
        <v>0</v>
      </c>
      <c r="R31" s="175">
        <f t="shared" si="2"/>
        <v>0</v>
      </c>
      <c r="S31" s="255" t="s">
        <v>150</v>
      </c>
      <c r="T31" s="172" t="str">
        <f t="shared" si="3"/>
        <v>nee</v>
      </c>
      <c r="U31" s="173">
        <f t="shared" si="7"/>
        <v>0.442</v>
      </c>
      <c r="V31" s="176">
        <f t="shared" si="8"/>
        <v>0</v>
      </c>
      <c r="W31" s="175" t="str">
        <f t="shared" si="9"/>
        <v/>
      </c>
      <c r="X31" s="256"/>
      <c r="Y31" s="298"/>
    </row>
    <row r="32" spans="1:25" ht="15" customHeight="1" x14ac:dyDescent="0.25">
      <c r="A32" s="188" t="str">
        <f>IF(B32&lt;&gt;"&lt;Selecteer&gt;",MAX($A$4:A31)+1,"")</f>
        <v/>
      </c>
      <c r="B32" s="167" t="s">
        <v>35</v>
      </c>
      <c r="C32" s="179"/>
      <c r="D32" s="180"/>
      <c r="E32" s="181"/>
      <c r="F32" s="165"/>
      <c r="G32" s="165"/>
      <c r="H32" s="174">
        <f t="shared" si="4"/>
        <v>0</v>
      </c>
      <c r="I32" s="182">
        <f t="shared" si="5"/>
        <v>0</v>
      </c>
      <c r="J32" s="175">
        <f t="shared" si="0"/>
        <v>0</v>
      </c>
      <c r="K32" s="187"/>
      <c r="L32" s="165"/>
      <c r="M32" s="191"/>
      <c r="N32" s="165"/>
      <c r="O32" s="165"/>
      <c r="P32" s="174">
        <f t="shared" si="6"/>
        <v>0</v>
      </c>
      <c r="Q32" s="182">
        <f t="shared" si="1"/>
        <v>0</v>
      </c>
      <c r="R32" s="175">
        <f t="shared" si="2"/>
        <v>0</v>
      </c>
      <c r="S32" s="255" t="s">
        <v>150</v>
      </c>
      <c r="T32" s="172" t="str">
        <f t="shared" si="3"/>
        <v>nee</v>
      </c>
      <c r="U32" s="173">
        <f t="shared" si="7"/>
        <v>0.442</v>
      </c>
      <c r="V32" s="176">
        <f t="shared" si="8"/>
        <v>0</v>
      </c>
      <c r="W32" s="175" t="str">
        <f t="shared" si="9"/>
        <v/>
      </c>
      <c r="X32" s="256"/>
      <c r="Y32" s="298"/>
    </row>
    <row r="33" spans="1:25" ht="15" customHeight="1" x14ac:dyDescent="0.25">
      <c r="A33" s="188" t="str">
        <f>IF(B33&lt;&gt;"&lt;Selecteer&gt;",MAX($A$4:A32)+1,"")</f>
        <v/>
      </c>
      <c r="B33" s="167" t="s">
        <v>35</v>
      </c>
      <c r="C33" s="179"/>
      <c r="D33" s="180"/>
      <c r="E33" s="181"/>
      <c r="F33" s="165"/>
      <c r="G33" s="165"/>
      <c r="H33" s="174">
        <f t="shared" si="4"/>
        <v>0</v>
      </c>
      <c r="I33" s="182">
        <f t="shared" si="5"/>
        <v>0</v>
      </c>
      <c r="J33" s="175">
        <f t="shared" si="0"/>
        <v>0</v>
      </c>
      <c r="K33" s="187"/>
      <c r="L33" s="165"/>
      <c r="M33" s="191"/>
      <c r="N33" s="165"/>
      <c r="O33" s="165"/>
      <c r="P33" s="174">
        <f t="shared" si="6"/>
        <v>0</v>
      </c>
      <c r="Q33" s="182">
        <f t="shared" si="1"/>
        <v>0</v>
      </c>
      <c r="R33" s="175">
        <f t="shared" si="2"/>
        <v>0</v>
      </c>
      <c r="S33" s="255" t="s">
        <v>150</v>
      </c>
      <c r="T33" s="172" t="str">
        <f t="shared" si="3"/>
        <v>nee</v>
      </c>
      <c r="U33" s="173">
        <f t="shared" si="7"/>
        <v>0.442</v>
      </c>
      <c r="V33" s="176">
        <f t="shared" si="8"/>
        <v>0</v>
      </c>
      <c r="W33" s="175" t="str">
        <f t="shared" si="9"/>
        <v/>
      </c>
      <c r="X33" s="256"/>
      <c r="Y33" s="298"/>
    </row>
    <row r="34" spans="1:25" ht="15" customHeight="1" x14ac:dyDescent="0.25">
      <c r="A34" s="188" t="str">
        <f>IF(B34&lt;&gt;"&lt;Selecteer&gt;",MAX($A$4:A33)+1,"")</f>
        <v/>
      </c>
      <c r="B34" s="167" t="s">
        <v>35</v>
      </c>
      <c r="C34" s="179"/>
      <c r="D34" s="180"/>
      <c r="E34" s="181"/>
      <c r="F34" s="165"/>
      <c r="G34" s="165"/>
      <c r="H34" s="174">
        <f t="shared" si="4"/>
        <v>0</v>
      </c>
      <c r="I34" s="182">
        <f t="shared" si="5"/>
        <v>0</v>
      </c>
      <c r="J34" s="175">
        <f t="shared" si="0"/>
        <v>0</v>
      </c>
      <c r="K34" s="187"/>
      <c r="L34" s="165"/>
      <c r="M34" s="191"/>
      <c r="N34" s="165"/>
      <c r="O34" s="165"/>
      <c r="P34" s="174">
        <f t="shared" si="6"/>
        <v>0</v>
      </c>
      <c r="Q34" s="182">
        <f t="shared" si="1"/>
        <v>0</v>
      </c>
      <c r="R34" s="175">
        <f t="shared" si="2"/>
        <v>0</v>
      </c>
      <c r="S34" s="255" t="s">
        <v>150</v>
      </c>
      <c r="T34" s="172" t="str">
        <f t="shared" si="3"/>
        <v>nee</v>
      </c>
      <c r="U34" s="173">
        <f t="shared" si="7"/>
        <v>0.442</v>
      </c>
      <c r="V34" s="176">
        <f t="shared" si="8"/>
        <v>0</v>
      </c>
      <c r="W34" s="175" t="str">
        <f t="shared" si="9"/>
        <v/>
      </c>
      <c r="X34" s="256"/>
      <c r="Y34" s="298"/>
    </row>
    <row r="35" spans="1:25" ht="15" customHeight="1" x14ac:dyDescent="0.25">
      <c r="A35" s="188" t="str">
        <f>IF(B35&lt;&gt;"&lt;Selecteer&gt;",MAX($A$4:A34)+1,"")</f>
        <v/>
      </c>
      <c r="B35" s="167" t="s">
        <v>35</v>
      </c>
      <c r="C35" s="179"/>
      <c r="D35" s="180"/>
      <c r="E35" s="181"/>
      <c r="F35" s="165"/>
      <c r="G35" s="165"/>
      <c r="H35" s="174">
        <f t="shared" si="4"/>
        <v>0</v>
      </c>
      <c r="I35" s="182">
        <f t="shared" si="5"/>
        <v>0</v>
      </c>
      <c r="J35" s="175">
        <f t="shared" si="0"/>
        <v>0</v>
      </c>
      <c r="K35" s="187"/>
      <c r="L35" s="165"/>
      <c r="M35" s="191"/>
      <c r="N35" s="165"/>
      <c r="O35" s="165"/>
      <c r="P35" s="174">
        <f t="shared" si="6"/>
        <v>0</v>
      </c>
      <c r="Q35" s="182">
        <f t="shared" si="1"/>
        <v>0</v>
      </c>
      <c r="R35" s="175">
        <f t="shared" si="2"/>
        <v>0</v>
      </c>
      <c r="S35" s="255" t="s">
        <v>150</v>
      </c>
      <c r="T35" s="172" t="str">
        <f t="shared" si="3"/>
        <v>nee</v>
      </c>
      <c r="U35" s="173">
        <f t="shared" si="7"/>
        <v>0.442</v>
      </c>
      <c r="V35" s="176">
        <f t="shared" si="8"/>
        <v>0</v>
      </c>
      <c r="W35" s="175" t="str">
        <f t="shared" si="9"/>
        <v/>
      </c>
      <c r="X35" s="256"/>
      <c r="Y35" s="298"/>
    </row>
    <row r="36" spans="1:25" ht="15" customHeight="1" x14ac:dyDescent="0.25">
      <c r="A36" s="188" t="str">
        <f>IF(B36&lt;&gt;"&lt;Selecteer&gt;",MAX($A$4:A35)+1,"")</f>
        <v/>
      </c>
      <c r="B36" s="167" t="s">
        <v>35</v>
      </c>
      <c r="C36" s="179"/>
      <c r="D36" s="180"/>
      <c r="E36" s="181"/>
      <c r="F36" s="165"/>
      <c r="G36" s="165"/>
      <c r="H36" s="174">
        <f t="shared" si="4"/>
        <v>0</v>
      </c>
      <c r="I36" s="182">
        <f t="shared" si="5"/>
        <v>0</v>
      </c>
      <c r="J36" s="175">
        <f t="shared" si="0"/>
        <v>0</v>
      </c>
      <c r="K36" s="187"/>
      <c r="L36" s="165"/>
      <c r="M36" s="191"/>
      <c r="N36" s="165"/>
      <c r="O36" s="165"/>
      <c r="P36" s="174">
        <f t="shared" si="6"/>
        <v>0</v>
      </c>
      <c r="Q36" s="182">
        <f t="shared" si="1"/>
        <v>0</v>
      </c>
      <c r="R36" s="175">
        <f t="shared" si="2"/>
        <v>0</v>
      </c>
      <c r="S36" s="255" t="s">
        <v>150</v>
      </c>
      <c r="T36" s="172" t="str">
        <f t="shared" si="3"/>
        <v>nee</v>
      </c>
      <c r="U36" s="173">
        <f t="shared" si="7"/>
        <v>0.442</v>
      </c>
      <c r="V36" s="176">
        <f t="shared" si="8"/>
        <v>0</v>
      </c>
      <c r="W36" s="175" t="str">
        <f t="shared" si="9"/>
        <v/>
      </c>
      <c r="X36" s="256"/>
      <c r="Y36" s="298"/>
    </row>
    <row r="37" spans="1:25" ht="15" customHeight="1" x14ac:dyDescent="0.25">
      <c r="A37" s="188" t="str">
        <f>IF(B37&lt;&gt;"&lt;Selecteer&gt;",MAX($A$4:A36)+1,"")</f>
        <v/>
      </c>
      <c r="B37" s="167" t="s">
        <v>35</v>
      </c>
      <c r="C37" s="179"/>
      <c r="D37" s="180"/>
      <c r="E37" s="181"/>
      <c r="F37" s="165"/>
      <c r="G37" s="165"/>
      <c r="H37" s="174">
        <f t="shared" si="4"/>
        <v>0</v>
      </c>
      <c r="I37" s="182">
        <f t="shared" si="5"/>
        <v>0</v>
      </c>
      <c r="J37" s="175">
        <f t="shared" ref="J37:J54" si="10">IF($B37="nee",IFERROR(ROUND(H37*(1+$U37)/I37,2),0),0)</f>
        <v>0</v>
      </c>
      <c r="K37" s="187"/>
      <c r="L37" s="165"/>
      <c r="M37" s="191"/>
      <c r="N37" s="165"/>
      <c r="O37" s="165"/>
      <c r="P37" s="174">
        <f t="shared" si="6"/>
        <v>0</v>
      </c>
      <c r="Q37" s="182">
        <f t="shared" ref="Q37:Q54" si="11">1720*M37/40</f>
        <v>0</v>
      </c>
      <c r="R37" s="175">
        <f t="shared" ref="R37:R54" si="12">IF($B37="nee",IFERROR(ROUND(P37*(1+$U37)/Q37,2),0),0)</f>
        <v>0</v>
      </c>
      <c r="S37" s="255" t="s">
        <v>150</v>
      </c>
      <c r="T37" s="172" t="str">
        <f t="shared" ref="T37:T54" si="13">IF(Methode_Keuze&lt;&gt;"",IF($C$2="Vereenvoudigde kostenoptie voor overige kosten","nee","ja"),"nee")</f>
        <v>nee</v>
      </c>
      <c r="U37" s="173">
        <f t="shared" si="7"/>
        <v>0.442</v>
      </c>
      <c r="V37" s="176">
        <f t="shared" si="8"/>
        <v>0</v>
      </c>
      <c r="W37" s="175" t="str">
        <f t="shared" si="9"/>
        <v/>
      </c>
      <c r="X37" s="256"/>
      <c r="Y37" s="298"/>
    </row>
    <row r="38" spans="1:25" ht="15" customHeight="1" x14ac:dyDescent="0.25">
      <c r="A38" s="188" t="str">
        <f>IF(B38&lt;&gt;"&lt;Selecteer&gt;",MAX($A$4:A37)+1,"")</f>
        <v/>
      </c>
      <c r="B38" s="167" t="s">
        <v>35</v>
      </c>
      <c r="C38" s="179"/>
      <c r="D38" s="180"/>
      <c r="E38" s="181"/>
      <c r="F38" s="165"/>
      <c r="G38" s="165"/>
      <c r="H38" s="174">
        <f t="shared" si="4"/>
        <v>0</v>
      </c>
      <c r="I38" s="182">
        <f t="shared" si="5"/>
        <v>0</v>
      </c>
      <c r="J38" s="175">
        <f t="shared" si="10"/>
        <v>0</v>
      </c>
      <c r="K38" s="187"/>
      <c r="L38" s="165"/>
      <c r="M38" s="191"/>
      <c r="N38" s="165"/>
      <c r="O38" s="165"/>
      <c r="P38" s="174">
        <f t="shared" si="6"/>
        <v>0</v>
      </c>
      <c r="Q38" s="182">
        <f t="shared" si="11"/>
        <v>0</v>
      </c>
      <c r="R38" s="175">
        <f t="shared" si="12"/>
        <v>0</v>
      </c>
      <c r="S38" s="255" t="s">
        <v>150</v>
      </c>
      <c r="T38" s="172" t="str">
        <f t="shared" si="13"/>
        <v>nee</v>
      </c>
      <c r="U38" s="173">
        <f t="shared" si="7"/>
        <v>0.442</v>
      </c>
      <c r="V38" s="176">
        <f t="shared" si="8"/>
        <v>0</v>
      </c>
      <c r="W38" s="175" t="str">
        <f t="shared" si="9"/>
        <v/>
      </c>
      <c r="X38" s="256"/>
      <c r="Y38" s="298"/>
    </row>
    <row r="39" spans="1:25" ht="15" customHeight="1" x14ac:dyDescent="0.25">
      <c r="A39" s="188" t="str">
        <f>IF(B39&lt;&gt;"&lt;Selecteer&gt;",MAX($A$4:A38)+1,"")</f>
        <v/>
      </c>
      <c r="B39" s="167" t="s">
        <v>35</v>
      </c>
      <c r="C39" s="179"/>
      <c r="D39" s="180"/>
      <c r="E39" s="181"/>
      <c r="F39" s="165"/>
      <c r="G39" s="165"/>
      <c r="H39" s="174">
        <f t="shared" si="4"/>
        <v>0</v>
      </c>
      <c r="I39" s="182">
        <f t="shared" si="5"/>
        <v>0</v>
      </c>
      <c r="J39" s="175">
        <f t="shared" si="10"/>
        <v>0</v>
      </c>
      <c r="K39" s="187"/>
      <c r="L39" s="165"/>
      <c r="M39" s="191"/>
      <c r="N39" s="165"/>
      <c r="O39" s="165"/>
      <c r="P39" s="174">
        <f t="shared" si="6"/>
        <v>0</v>
      </c>
      <c r="Q39" s="182">
        <f t="shared" si="11"/>
        <v>0</v>
      </c>
      <c r="R39" s="175">
        <f t="shared" si="12"/>
        <v>0</v>
      </c>
      <c r="S39" s="255" t="s">
        <v>150</v>
      </c>
      <c r="T39" s="172" t="str">
        <f t="shared" si="13"/>
        <v>nee</v>
      </c>
      <c r="U39" s="173">
        <f t="shared" si="7"/>
        <v>0.442</v>
      </c>
      <c r="V39" s="176">
        <f t="shared" si="8"/>
        <v>0</v>
      </c>
      <c r="W39" s="175" t="str">
        <f t="shared" si="9"/>
        <v/>
      </c>
      <c r="X39" s="256"/>
      <c r="Y39" s="298"/>
    </row>
    <row r="40" spans="1:25" ht="15" customHeight="1" x14ac:dyDescent="0.25">
      <c r="A40" s="188" t="str">
        <f>IF(B40&lt;&gt;"&lt;Selecteer&gt;",MAX($A$4:A39)+1,"")</f>
        <v/>
      </c>
      <c r="B40" s="167" t="s">
        <v>35</v>
      </c>
      <c r="C40" s="179"/>
      <c r="D40" s="180"/>
      <c r="E40" s="181"/>
      <c r="F40" s="165"/>
      <c r="G40" s="165"/>
      <c r="H40" s="174">
        <f t="shared" si="4"/>
        <v>0</v>
      </c>
      <c r="I40" s="182">
        <f t="shared" si="5"/>
        <v>0</v>
      </c>
      <c r="J40" s="175">
        <f t="shared" si="10"/>
        <v>0</v>
      </c>
      <c r="K40" s="187"/>
      <c r="L40" s="165"/>
      <c r="M40" s="191"/>
      <c r="N40" s="165"/>
      <c r="O40" s="165"/>
      <c r="P40" s="174">
        <f t="shared" si="6"/>
        <v>0</v>
      </c>
      <c r="Q40" s="182">
        <f t="shared" si="11"/>
        <v>0</v>
      </c>
      <c r="R40" s="175">
        <f t="shared" si="12"/>
        <v>0</v>
      </c>
      <c r="S40" s="255" t="s">
        <v>150</v>
      </c>
      <c r="T40" s="172" t="str">
        <f t="shared" si="13"/>
        <v>nee</v>
      </c>
      <c r="U40" s="173">
        <f t="shared" si="7"/>
        <v>0.442</v>
      </c>
      <c r="V40" s="176">
        <f t="shared" si="8"/>
        <v>0</v>
      </c>
      <c r="W40" s="175" t="str">
        <f t="shared" si="9"/>
        <v/>
      </c>
      <c r="X40" s="256"/>
      <c r="Y40" s="298"/>
    </row>
    <row r="41" spans="1:25" ht="15" customHeight="1" x14ac:dyDescent="0.25">
      <c r="A41" s="188" t="str">
        <f>IF(B41&lt;&gt;"&lt;Selecteer&gt;",MAX($A$4:A40)+1,"")</f>
        <v/>
      </c>
      <c r="B41" s="167" t="s">
        <v>35</v>
      </c>
      <c r="C41" s="179"/>
      <c r="D41" s="180"/>
      <c r="E41" s="181"/>
      <c r="F41" s="165"/>
      <c r="G41" s="165"/>
      <c r="H41" s="174">
        <f t="shared" si="4"/>
        <v>0</v>
      </c>
      <c r="I41" s="182">
        <f t="shared" si="5"/>
        <v>0</v>
      </c>
      <c r="J41" s="175">
        <f t="shared" si="10"/>
        <v>0</v>
      </c>
      <c r="K41" s="187"/>
      <c r="L41" s="165"/>
      <c r="M41" s="191"/>
      <c r="N41" s="165"/>
      <c r="O41" s="165"/>
      <c r="P41" s="174">
        <f t="shared" si="6"/>
        <v>0</v>
      </c>
      <c r="Q41" s="182">
        <f t="shared" si="11"/>
        <v>0</v>
      </c>
      <c r="R41" s="175">
        <f t="shared" si="12"/>
        <v>0</v>
      </c>
      <c r="S41" s="255" t="s">
        <v>150</v>
      </c>
      <c r="T41" s="172" t="str">
        <f t="shared" si="13"/>
        <v>nee</v>
      </c>
      <c r="U41" s="173">
        <f t="shared" si="7"/>
        <v>0.442</v>
      </c>
      <c r="V41" s="176">
        <f t="shared" si="8"/>
        <v>0</v>
      </c>
      <c r="W41" s="175" t="str">
        <f t="shared" si="9"/>
        <v/>
      </c>
      <c r="X41" s="256"/>
      <c r="Y41" s="298"/>
    </row>
    <row r="42" spans="1:25" ht="15" customHeight="1" x14ac:dyDescent="0.25">
      <c r="A42" s="188" t="str">
        <f>IF(B42&lt;&gt;"&lt;Selecteer&gt;",MAX($A$4:A41)+1,"")</f>
        <v/>
      </c>
      <c r="B42" s="167" t="s">
        <v>35</v>
      </c>
      <c r="C42" s="179"/>
      <c r="D42" s="180"/>
      <c r="E42" s="181"/>
      <c r="F42" s="165"/>
      <c r="G42" s="165"/>
      <c r="H42" s="174">
        <f t="shared" si="4"/>
        <v>0</v>
      </c>
      <c r="I42" s="182">
        <f t="shared" si="5"/>
        <v>0</v>
      </c>
      <c r="J42" s="175">
        <f t="shared" si="10"/>
        <v>0</v>
      </c>
      <c r="K42" s="187"/>
      <c r="L42" s="165"/>
      <c r="M42" s="191"/>
      <c r="N42" s="165"/>
      <c r="O42" s="165"/>
      <c r="P42" s="174">
        <f t="shared" si="6"/>
        <v>0</v>
      </c>
      <c r="Q42" s="182">
        <f t="shared" si="11"/>
        <v>0</v>
      </c>
      <c r="R42" s="175">
        <f t="shared" si="12"/>
        <v>0</v>
      </c>
      <c r="S42" s="255" t="s">
        <v>150</v>
      </c>
      <c r="T42" s="172" t="str">
        <f t="shared" si="13"/>
        <v>nee</v>
      </c>
      <c r="U42" s="173">
        <f t="shared" si="7"/>
        <v>0.442</v>
      </c>
      <c r="V42" s="176">
        <f t="shared" si="8"/>
        <v>0</v>
      </c>
      <c r="W42" s="175" t="str">
        <f t="shared" si="9"/>
        <v/>
      </c>
      <c r="X42" s="256"/>
      <c r="Y42" s="298"/>
    </row>
    <row r="43" spans="1:25" ht="15" customHeight="1" x14ac:dyDescent="0.25">
      <c r="A43" s="188" t="str">
        <f>IF(B43&lt;&gt;"&lt;Selecteer&gt;",MAX($A$4:A42)+1,"")</f>
        <v/>
      </c>
      <c r="B43" s="167" t="s">
        <v>35</v>
      </c>
      <c r="C43" s="179"/>
      <c r="D43" s="180"/>
      <c r="E43" s="181"/>
      <c r="F43" s="165"/>
      <c r="G43" s="165"/>
      <c r="H43" s="174">
        <f t="shared" si="4"/>
        <v>0</v>
      </c>
      <c r="I43" s="182">
        <f t="shared" si="5"/>
        <v>0</v>
      </c>
      <c r="J43" s="175">
        <f t="shared" si="10"/>
        <v>0</v>
      </c>
      <c r="K43" s="187"/>
      <c r="L43" s="165"/>
      <c r="M43" s="191"/>
      <c r="N43" s="165"/>
      <c r="O43" s="165"/>
      <c r="P43" s="174">
        <f t="shared" si="6"/>
        <v>0</v>
      </c>
      <c r="Q43" s="182">
        <f t="shared" si="11"/>
        <v>0</v>
      </c>
      <c r="R43" s="175">
        <f t="shared" si="12"/>
        <v>0</v>
      </c>
      <c r="S43" s="255" t="s">
        <v>150</v>
      </c>
      <c r="T43" s="172" t="str">
        <f t="shared" si="13"/>
        <v>nee</v>
      </c>
      <c r="U43" s="173">
        <f t="shared" si="7"/>
        <v>0.442</v>
      </c>
      <c r="V43" s="176">
        <f t="shared" si="8"/>
        <v>0</v>
      </c>
      <c r="W43" s="175" t="str">
        <f t="shared" si="9"/>
        <v/>
      </c>
      <c r="X43" s="256"/>
      <c r="Y43" s="298"/>
    </row>
    <row r="44" spans="1:25" ht="15" customHeight="1" x14ac:dyDescent="0.25">
      <c r="A44" s="188" t="str">
        <f>IF(B44&lt;&gt;"&lt;Selecteer&gt;",MAX($A$4:A43)+1,"")</f>
        <v/>
      </c>
      <c r="B44" s="167" t="s">
        <v>35</v>
      </c>
      <c r="C44" s="179"/>
      <c r="D44" s="180"/>
      <c r="E44" s="181"/>
      <c r="F44" s="165"/>
      <c r="G44" s="165"/>
      <c r="H44" s="174">
        <f t="shared" si="4"/>
        <v>0</v>
      </c>
      <c r="I44" s="182">
        <f t="shared" si="5"/>
        <v>0</v>
      </c>
      <c r="J44" s="175">
        <f t="shared" si="10"/>
        <v>0</v>
      </c>
      <c r="K44" s="187"/>
      <c r="L44" s="165"/>
      <c r="M44" s="191"/>
      <c r="N44" s="165"/>
      <c r="O44" s="165"/>
      <c r="P44" s="174">
        <f t="shared" si="6"/>
        <v>0</v>
      </c>
      <c r="Q44" s="182">
        <f t="shared" si="11"/>
        <v>0</v>
      </c>
      <c r="R44" s="175">
        <f t="shared" si="12"/>
        <v>0</v>
      </c>
      <c r="S44" s="255" t="s">
        <v>150</v>
      </c>
      <c r="T44" s="172" t="str">
        <f t="shared" si="13"/>
        <v>nee</v>
      </c>
      <c r="U44" s="173">
        <f t="shared" si="7"/>
        <v>0.442</v>
      </c>
      <c r="V44" s="176">
        <f t="shared" si="8"/>
        <v>0</v>
      </c>
      <c r="W44" s="175" t="str">
        <f t="shared" si="9"/>
        <v/>
      </c>
      <c r="X44" s="256"/>
      <c r="Y44" s="298"/>
    </row>
    <row r="45" spans="1:25" ht="15" customHeight="1" x14ac:dyDescent="0.25">
      <c r="A45" s="188" t="str">
        <f>IF(B45&lt;&gt;"&lt;Selecteer&gt;",MAX($A$4:A44)+1,"")</f>
        <v/>
      </c>
      <c r="B45" s="167" t="s">
        <v>35</v>
      </c>
      <c r="C45" s="179"/>
      <c r="D45" s="180"/>
      <c r="E45" s="181"/>
      <c r="F45" s="165"/>
      <c r="G45" s="165"/>
      <c r="H45" s="174">
        <f t="shared" si="4"/>
        <v>0</v>
      </c>
      <c r="I45" s="182">
        <f t="shared" si="5"/>
        <v>0</v>
      </c>
      <c r="J45" s="175">
        <f t="shared" si="10"/>
        <v>0</v>
      </c>
      <c r="K45" s="187"/>
      <c r="L45" s="165"/>
      <c r="M45" s="191"/>
      <c r="N45" s="165"/>
      <c r="O45" s="165"/>
      <c r="P45" s="174">
        <f t="shared" si="6"/>
        <v>0</v>
      </c>
      <c r="Q45" s="182">
        <f t="shared" si="11"/>
        <v>0</v>
      </c>
      <c r="R45" s="175">
        <f t="shared" si="12"/>
        <v>0</v>
      </c>
      <c r="S45" s="255" t="s">
        <v>150</v>
      </c>
      <c r="T45" s="172" t="str">
        <f t="shared" si="13"/>
        <v>nee</v>
      </c>
      <c r="U45" s="173">
        <f t="shared" si="7"/>
        <v>0.442</v>
      </c>
      <c r="V45" s="176">
        <f t="shared" si="8"/>
        <v>0</v>
      </c>
      <c r="W45" s="175" t="str">
        <f t="shared" si="9"/>
        <v/>
      </c>
      <c r="X45" s="256"/>
      <c r="Y45" s="298"/>
    </row>
    <row r="46" spans="1:25" ht="15" customHeight="1" x14ac:dyDescent="0.25">
      <c r="A46" s="188" t="str">
        <f>IF(B46&lt;&gt;"&lt;Selecteer&gt;",MAX($A$4:A45)+1,"")</f>
        <v/>
      </c>
      <c r="B46" s="167" t="s">
        <v>35</v>
      </c>
      <c r="C46" s="179"/>
      <c r="D46" s="180"/>
      <c r="E46" s="181"/>
      <c r="F46" s="165"/>
      <c r="G46" s="165"/>
      <c r="H46" s="174">
        <f t="shared" si="4"/>
        <v>0</v>
      </c>
      <c r="I46" s="182">
        <f t="shared" si="5"/>
        <v>0</v>
      </c>
      <c r="J46" s="175">
        <f t="shared" si="10"/>
        <v>0</v>
      </c>
      <c r="K46" s="187"/>
      <c r="L46" s="165"/>
      <c r="M46" s="191"/>
      <c r="N46" s="165"/>
      <c r="O46" s="165"/>
      <c r="P46" s="174">
        <f t="shared" si="6"/>
        <v>0</v>
      </c>
      <c r="Q46" s="182">
        <f t="shared" si="11"/>
        <v>0</v>
      </c>
      <c r="R46" s="175">
        <f t="shared" si="12"/>
        <v>0</v>
      </c>
      <c r="S46" s="255" t="s">
        <v>150</v>
      </c>
      <c r="T46" s="172" t="str">
        <f t="shared" si="13"/>
        <v>nee</v>
      </c>
      <c r="U46" s="173">
        <f t="shared" si="7"/>
        <v>0.442</v>
      </c>
      <c r="V46" s="176">
        <f t="shared" si="8"/>
        <v>0</v>
      </c>
      <c r="W46" s="175" t="str">
        <f t="shared" si="9"/>
        <v/>
      </c>
      <c r="X46" s="256"/>
      <c r="Y46" s="298"/>
    </row>
    <row r="47" spans="1:25" ht="15" customHeight="1" x14ac:dyDescent="0.25">
      <c r="A47" s="188" t="str">
        <f>IF(B47&lt;&gt;"&lt;Selecteer&gt;",MAX($A$4:A46)+1,"")</f>
        <v/>
      </c>
      <c r="B47" s="167" t="s">
        <v>35</v>
      </c>
      <c r="C47" s="179"/>
      <c r="D47" s="180"/>
      <c r="E47" s="181"/>
      <c r="F47" s="165"/>
      <c r="G47" s="165"/>
      <c r="H47" s="174">
        <f t="shared" si="4"/>
        <v>0</v>
      </c>
      <c r="I47" s="182">
        <f t="shared" si="5"/>
        <v>0</v>
      </c>
      <c r="J47" s="175">
        <f t="shared" si="10"/>
        <v>0</v>
      </c>
      <c r="K47" s="187"/>
      <c r="L47" s="165"/>
      <c r="M47" s="191"/>
      <c r="N47" s="165"/>
      <c r="O47" s="165"/>
      <c r="P47" s="174">
        <f t="shared" si="6"/>
        <v>0</v>
      </c>
      <c r="Q47" s="182">
        <f t="shared" si="11"/>
        <v>0</v>
      </c>
      <c r="R47" s="175">
        <f t="shared" si="12"/>
        <v>0</v>
      </c>
      <c r="S47" s="255" t="s">
        <v>150</v>
      </c>
      <c r="T47" s="172" t="str">
        <f t="shared" si="13"/>
        <v>nee</v>
      </c>
      <c r="U47" s="173">
        <f t="shared" si="7"/>
        <v>0.442</v>
      </c>
      <c r="V47" s="176">
        <f t="shared" si="8"/>
        <v>0</v>
      </c>
      <c r="W47" s="175" t="str">
        <f t="shared" si="9"/>
        <v/>
      </c>
      <c r="X47" s="256"/>
      <c r="Y47" s="298"/>
    </row>
    <row r="48" spans="1:25" ht="15" customHeight="1" x14ac:dyDescent="0.25">
      <c r="A48" s="188" t="str">
        <f>IF(B48&lt;&gt;"&lt;Selecteer&gt;",MAX($A$4:A47)+1,"")</f>
        <v/>
      </c>
      <c r="B48" s="167" t="s">
        <v>35</v>
      </c>
      <c r="C48" s="179"/>
      <c r="D48" s="180"/>
      <c r="E48" s="181"/>
      <c r="F48" s="165"/>
      <c r="G48" s="165"/>
      <c r="H48" s="174">
        <f t="shared" si="4"/>
        <v>0</v>
      </c>
      <c r="I48" s="182">
        <f t="shared" si="5"/>
        <v>0</v>
      </c>
      <c r="J48" s="175">
        <f t="shared" si="10"/>
        <v>0</v>
      </c>
      <c r="K48" s="187"/>
      <c r="L48" s="165"/>
      <c r="M48" s="191"/>
      <c r="N48" s="165"/>
      <c r="O48" s="165"/>
      <c r="P48" s="174">
        <f t="shared" si="6"/>
        <v>0</v>
      </c>
      <c r="Q48" s="182">
        <f t="shared" si="11"/>
        <v>0</v>
      </c>
      <c r="R48" s="175">
        <f t="shared" si="12"/>
        <v>0</v>
      </c>
      <c r="S48" s="255" t="s">
        <v>150</v>
      </c>
      <c r="T48" s="172" t="str">
        <f t="shared" si="13"/>
        <v>nee</v>
      </c>
      <c r="U48" s="173">
        <f t="shared" si="7"/>
        <v>0.442</v>
      </c>
      <c r="V48" s="176">
        <f t="shared" si="8"/>
        <v>0</v>
      </c>
      <c r="W48" s="175" t="str">
        <f t="shared" si="9"/>
        <v/>
      </c>
      <c r="X48" s="256"/>
      <c r="Y48" s="298"/>
    </row>
    <row r="49" spans="1:25" ht="15" customHeight="1" x14ac:dyDescent="0.25">
      <c r="A49" s="188" t="str">
        <f>IF(B49&lt;&gt;"&lt;Selecteer&gt;",MAX($A$4:A48)+1,"")</f>
        <v/>
      </c>
      <c r="B49" s="167" t="s">
        <v>35</v>
      </c>
      <c r="C49" s="179"/>
      <c r="D49" s="180"/>
      <c r="E49" s="181"/>
      <c r="F49" s="165"/>
      <c r="G49" s="165"/>
      <c r="H49" s="174">
        <f t="shared" si="4"/>
        <v>0</v>
      </c>
      <c r="I49" s="182">
        <f t="shared" si="5"/>
        <v>0</v>
      </c>
      <c r="J49" s="175">
        <f t="shared" si="10"/>
        <v>0</v>
      </c>
      <c r="K49" s="187"/>
      <c r="L49" s="165"/>
      <c r="M49" s="191"/>
      <c r="N49" s="165"/>
      <c r="O49" s="165"/>
      <c r="P49" s="174">
        <f t="shared" si="6"/>
        <v>0</v>
      </c>
      <c r="Q49" s="182">
        <f t="shared" si="11"/>
        <v>0</v>
      </c>
      <c r="R49" s="175">
        <f t="shared" si="12"/>
        <v>0</v>
      </c>
      <c r="S49" s="255" t="s">
        <v>150</v>
      </c>
      <c r="T49" s="172" t="str">
        <f t="shared" si="13"/>
        <v>nee</v>
      </c>
      <c r="U49" s="173">
        <f t="shared" si="7"/>
        <v>0.442</v>
      </c>
      <c r="V49" s="176">
        <f t="shared" si="8"/>
        <v>0</v>
      </c>
      <c r="W49" s="175" t="str">
        <f t="shared" si="9"/>
        <v/>
      </c>
      <c r="X49" s="256"/>
      <c r="Y49" s="298"/>
    </row>
    <row r="50" spans="1:25" ht="15" customHeight="1" x14ac:dyDescent="0.25">
      <c r="A50" s="188" t="str">
        <f>IF(B50&lt;&gt;"&lt;Selecteer&gt;",MAX($A$4:A49)+1,"")</f>
        <v/>
      </c>
      <c r="B50" s="167" t="s">
        <v>35</v>
      </c>
      <c r="C50" s="179"/>
      <c r="D50" s="180"/>
      <c r="E50" s="181"/>
      <c r="F50" s="165"/>
      <c r="G50" s="165"/>
      <c r="H50" s="174">
        <f t="shared" si="4"/>
        <v>0</v>
      </c>
      <c r="I50" s="182">
        <f t="shared" si="5"/>
        <v>0</v>
      </c>
      <c r="J50" s="175">
        <f t="shared" si="10"/>
        <v>0</v>
      </c>
      <c r="K50" s="187"/>
      <c r="L50" s="165"/>
      <c r="M50" s="191"/>
      <c r="N50" s="165"/>
      <c r="O50" s="165"/>
      <c r="P50" s="174">
        <f t="shared" si="6"/>
        <v>0</v>
      </c>
      <c r="Q50" s="182">
        <f t="shared" si="11"/>
        <v>0</v>
      </c>
      <c r="R50" s="175">
        <f t="shared" si="12"/>
        <v>0</v>
      </c>
      <c r="S50" s="255" t="s">
        <v>150</v>
      </c>
      <c r="T50" s="172" t="str">
        <f t="shared" si="13"/>
        <v>nee</v>
      </c>
      <c r="U50" s="173">
        <f t="shared" si="7"/>
        <v>0.442</v>
      </c>
      <c r="V50" s="176">
        <f t="shared" si="8"/>
        <v>0</v>
      </c>
      <c r="W50" s="175" t="str">
        <f t="shared" si="9"/>
        <v/>
      </c>
      <c r="X50" s="256"/>
      <c r="Y50" s="298"/>
    </row>
    <row r="51" spans="1:25" ht="15" customHeight="1" x14ac:dyDescent="0.25">
      <c r="A51" s="188" t="str">
        <f>IF(B51&lt;&gt;"&lt;Selecteer&gt;",MAX($A$4:A50)+1,"")</f>
        <v/>
      </c>
      <c r="B51" s="167" t="s">
        <v>35</v>
      </c>
      <c r="C51" s="179"/>
      <c r="D51" s="180"/>
      <c r="E51" s="181"/>
      <c r="F51" s="165"/>
      <c r="G51" s="165"/>
      <c r="H51" s="174">
        <f t="shared" si="4"/>
        <v>0</v>
      </c>
      <c r="I51" s="182">
        <f t="shared" si="5"/>
        <v>0</v>
      </c>
      <c r="J51" s="175">
        <f t="shared" si="10"/>
        <v>0</v>
      </c>
      <c r="K51" s="187"/>
      <c r="L51" s="165"/>
      <c r="M51" s="191"/>
      <c r="N51" s="165"/>
      <c r="O51" s="165"/>
      <c r="P51" s="174">
        <f t="shared" si="6"/>
        <v>0</v>
      </c>
      <c r="Q51" s="182">
        <f t="shared" si="11"/>
        <v>0</v>
      </c>
      <c r="R51" s="175">
        <f t="shared" si="12"/>
        <v>0</v>
      </c>
      <c r="S51" s="255" t="s">
        <v>150</v>
      </c>
      <c r="T51" s="172" t="str">
        <f t="shared" si="13"/>
        <v>nee</v>
      </c>
      <c r="U51" s="173">
        <f t="shared" si="7"/>
        <v>0.442</v>
      </c>
      <c r="V51" s="176">
        <f t="shared" si="8"/>
        <v>0</v>
      </c>
      <c r="W51" s="175" t="str">
        <f t="shared" si="9"/>
        <v/>
      </c>
      <c r="X51" s="256"/>
      <c r="Y51" s="298"/>
    </row>
    <row r="52" spans="1:25" ht="15" customHeight="1" x14ac:dyDescent="0.25">
      <c r="A52" s="188" t="str">
        <f>IF(B52&lt;&gt;"&lt;Selecteer&gt;",MAX($A$4:A51)+1,"")</f>
        <v/>
      </c>
      <c r="B52" s="167" t="s">
        <v>35</v>
      </c>
      <c r="C52" s="179"/>
      <c r="D52" s="180"/>
      <c r="E52" s="181"/>
      <c r="F52" s="165"/>
      <c r="G52" s="165"/>
      <c r="H52" s="174">
        <f t="shared" si="4"/>
        <v>0</v>
      </c>
      <c r="I52" s="182">
        <f t="shared" si="5"/>
        <v>0</v>
      </c>
      <c r="J52" s="175">
        <f t="shared" si="10"/>
        <v>0</v>
      </c>
      <c r="K52" s="187"/>
      <c r="L52" s="165"/>
      <c r="M52" s="191"/>
      <c r="N52" s="165"/>
      <c r="O52" s="165"/>
      <c r="P52" s="174">
        <f t="shared" si="6"/>
        <v>0</v>
      </c>
      <c r="Q52" s="182">
        <f t="shared" si="11"/>
        <v>0</v>
      </c>
      <c r="R52" s="175">
        <f t="shared" si="12"/>
        <v>0</v>
      </c>
      <c r="S52" s="255" t="s">
        <v>150</v>
      </c>
      <c r="T52" s="172" t="str">
        <f t="shared" si="13"/>
        <v>nee</v>
      </c>
      <c r="U52" s="173">
        <f t="shared" si="7"/>
        <v>0.442</v>
      </c>
      <c r="V52" s="176">
        <f t="shared" si="8"/>
        <v>0</v>
      </c>
      <c r="W52" s="175" t="str">
        <f t="shared" si="9"/>
        <v/>
      </c>
      <c r="X52" s="256"/>
      <c r="Y52" s="298"/>
    </row>
    <row r="53" spans="1:25" ht="15" customHeight="1" x14ac:dyDescent="0.25">
      <c r="A53" s="188" t="str">
        <f>IF(B53&lt;&gt;"&lt;Selecteer&gt;",MAX($A$4:A52)+1,"")</f>
        <v/>
      </c>
      <c r="B53" s="167" t="s">
        <v>35</v>
      </c>
      <c r="C53" s="179"/>
      <c r="D53" s="180"/>
      <c r="E53" s="181"/>
      <c r="F53" s="165"/>
      <c r="G53" s="165"/>
      <c r="H53" s="174">
        <f t="shared" si="4"/>
        <v>0</v>
      </c>
      <c r="I53" s="182">
        <f t="shared" si="5"/>
        <v>0</v>
      </c>
      <c r="J53" s="175">
        <f t="shared" si="10"/>
        <v>0</v>
      </c>
      <c r="K53" s="187"/>
      <c r="L53" s="165"/>
      <c r="M53" s="191"/>
      <c r="N53" s="165"/>
      <c r="O53" s="165"/>
      <c r="P53" s="174">
        <f t="shared" si="6"/>
        <v>0</v>
      </c>
      <c r="Q53" s="182">
        <f t="shared" si="11"/>
        <v>0</v>
      </c>
      <c r="R53" s="175">
        <f t="shared" si="12"/>
        <v>0</v>
      </c>
      <c r="S53" s="255" t="s">
        <v>150</v>
      </c>
      <c r="T53" s="172" t="str">
        <f t="shared" si="13"/>
        <v>nee</v>
      </c>
      <c r="U53" s="173">
        <f t="shared" si="7"/>
        <v>0.442</v>
      </c>
      <c r="V53" s="176">
        <f t="shared" si="8"/>
        <v>0</v>
      </c>
      <c r="W53" s="175" t="str">
        <f t="shared" si="9"/>
        <v/>
      </c>
      <c r="X53" s="256"/>
      <c r="Y53" s="298"/>
    </row>
    <row r="54" spans="1:25" ht="15" customHeight="1" x14ac:dyDescent="0.25">
      <c r="A54" s="188" t="str">
        <f>IF(B54&lt;&gt;"&lt;Selecteer&gt;",MAX($A$4:A53)+1,"")</f>
        <v/>
      </c>
      <c r="B54" s="167" t="s">
        <v>35</v>
      </c>
      <c r="C54" s="179"/>
      <c r="D54" s="180"/>
      <c r="E54" s="181"/>
      <c r="F54" s="165"/>
      <c r="G54" s="165"/>
      <c r="H54" s="174">
        <f t="shared" si="4"/>
        <v>0</v>
      </c>
      <c r="I54" s="182">
        <f t="shared" si="5"/>
        <v>0</v>
      </c>
      <c r="J54" s="175">
        <f t="shared" si="10"/>
        <v>0</v>
      </c>
      <c r="K54" s="187"/>
      <c r="L54" s="165"/>
      <c r="M54" s="191"/>
      <c r="N54" s="165"/>
      <c r="O54" s="165"/>
      <c r="P54" s="174">
        <f t="shared" si="6"/>
        <v>0</v>
      </c>
      <c r="Q54" s="182">
        <f t="shared" si="11"/>
        <v>0</v>
      </c>
      <c r="R54" s="175">
        <f t="shared" si="12"/>
        <v>0</v>
      </c>
      <c r="S54" s="255" t="s">
        <v>150</v>
      </c>
      <c r="T54" s="172" t="str">
        <f t="shared" si="13"/>
        <v>nee</v>
      </c>
      <c r="U54" s="173">
        <f t="shared" si="7"/>
        <v>0.442</v>
      </c>
      <c r="V54" s="176">
        <f t="shared" si="8"/>
        <v>0</v>
      </c>
      <c r="W54" s="175" t="str">
        <f t="shared" si="9"/>
        <v/>
      </c>
      <c r="X54" s="256"/>
      <c r="Y54" s="298"/>
    </row>
    <row r="57" spans="1:25" ht="15" customHeight="1" x14ac:dyDescent="0.25">
      <c r="U57" s="171"/>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06" priority="26">
      <formula>OR($B5="Ja",$B5="Nee")</formula>
    </cfRule>
  </conditionalFormatting>
  <conditionalFormatting sqref="C5:Y54">
    <cfRule type="expression" dxfId="105" priority="1" stopIfTrue="1">
      <formula>$B5="&lt;Selecteer&gt;"</formula>
    </cfRule>
  </conditionalFormatting>
  <conditionalFormatting sqref="D5:D54">
    <cfRule type="expression" dxfId="104" priority="18">
      <formula>$B5="Ja"</formula>
    </cfRule>
  </conditionalFormatting>
  <conditionalFormatting sqref="E5:G54">
    <cfRule type="expression" dxfId="103" priority="24">
      <formula>$B5="Nee"</formula>
    </cfRule>
  </conditionalFormatting>
  <conditionalFormatting sqref="H5:J54">
    <cfRule type="expression" dxfId="102" priority="10">
      <formula>$B5="Nee"</formula>
    </cfRule>
  </conditionalFormatting>
  <conditionalFormatting sqref="K5:K54">
    <cfRule type="cellIs" dxfId="101" priority="6" stopIfTrue="1" operator="equal">
      <formula>"JA"</formula>
    </cfRule>
    <cfRule type="cellIs" dxfId="100" priority="30" stopIfTrue="1" operator="equal">
      <formula>"NEE"</formula>
    </cfRule>
    <cfRule type="cellIs" dxfId="99" priority="31" stopIfTrue="1" operator="equal">
      <formula>""</formula>
    </cfRule>
  </conditionalFormatting>
  <conditionalFormatting sqref="L5:L54">
    <cfRule type="expression" dxfId="98" priority="20">
      <formula>AND($B5="Ja",$K5="NEE")</formula>
    </cfRule>
  </conditionalFormatting>
  <conditionalFormatting sqref="M5:O54">
    <cfRule type="expression" dxfId="97" priority="11">
      <formula>AND($B5="Nee",$K5="NEE")</formula>
    </cfRule>
  </conditionalFormatting>
  <conditionalFormatting sqref="P5:R54">
    <cfRule type="expression" dxfId="96" priority="19">
      <formula>AND($B5="Nee",$K5="NEE")</formula>
    </cfRule>
  </conditionalFormatting>
  <conditionalFormatting sqref="S5:U54">
    <cfRule type="expression" dxfId="95" priority="35">
      <formula>$B5="Nee"</formula>
    </cfRule>
  </conditionalFormatting>
  <conditionalFormatting sqref="V5:X54">
    <cfRule type="expression" dxfId="94" priority="15">
      <formula>OR($B5="Nee",$B5="Ja")</formula>
    </cfRule>
  </conditionalFormatting>
  <conditionalFormatting sqref="X5:Y54 C5:C54">
    <cfRule type="expression" dxfId="93" priority="8">
      <formula>OR($B5="Ja",$B5="Nee")</formula>
    </cfRule>
  </conditionalFormatting>
  <conditionalFormatting sqref="Y5:Y54">
    <cfRule type="cellIs" dxfId="92" priority="2" stopIfTrue="1" operator="equal">
      <formula>"JA"</formula>
    </cfRule>
    <cfRule type="cellIs" dxfId="91" priority="3" stopIfTrue="1" operator="equal">
      <formula>"NEE"</formula>
    </cfRule>
    <cfRule type="cellIs" dxfId="90"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 &amp;A&amp;R&amp;P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tabSelected="1"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sheetView>
  </sheetViews>
  <sheetFormatPr defaultColWidth="9.140625" defaultRowHeight="15" customHeight="1" x14ac:dyDescent="0.25"/>
  <cols>
    <col min="1" max="1" width="5.7109375" style="40" customWidth="1"/>
    <col min="2" max="2" width="30.7109375" style="37" customWidth="1"/>
    <col min="3" max="3" width="44.140625" style="37" customWidth="1"/>
    <col min="4" max="4" width="40.7109375" style="37" customWidth="1"/>
    <col min="5" max="5" width="45.7109375" style="37" customWidth="1"/>
    <col min="6" max="6" width="29.5703125" style="37" customWidth="1"/>
    <col min="7" max="7" width="26.28515625" style="37" customWidth="1"/>
    <col min="8" max="8" width="22.7109375" style="37" customWidth="1"/>
    <col min="9" max="9" width="16.28515625" style="40" customWidth="1"/>
    <col min="10" max="10" width="13.5703125" style="40" customWidth="1"/>
    <col min="11" max="11" width="13.7109375" style="37" hidden="1" customWidth="1"/>
    <col min="12" max="12" width="13.140625" style="37" customWidth="1"/>
    <col min="13" max="13" width="14" style="37" hidden="1" customWidth="1"/>
    <col min="14" max="14" width="17.85546875" style="37" customWidth="1"/>
    <col min="15" max="15" width="13.5703125" style="37" hidden="1" customWidth="1"/>
    <col min="16" max="16" width="16.85546875" style="37" customWidth="1"/>
    <col min="17" max="17" width="13.5703125" style="37" hidden="1" customWidth="1"/>
    <col min="18" max="18" width="16.85546875" style="37" customWidth="1"/>
    <col min="19" max="19" width="16.85546875" style="37" hidden="1" customWidth="1"/>
    <col min="20" max="20" width="48.85546875" style="37" customWidth="1"/>
    <col min="21" max="21" width="77" style="37" hidden="1" customWidth="1"/>
    <col min="22" max="16384" width="9.140625" style="37"/>
  </cols>
  <sheetData>
    <row r="1" spans="1:21" ht="15" customHeight="1" x14ac:dyDescent="0.25">
      <c r="A1" s="154"/>
      <c r="B1" s="148" t="s">
        <v>78</v>
      </c>
      <c r="C1" s="328" t="str">
        <f>IF(OR('1. Aanvraaggegevens'!C2="",'1. Aanvraaggegevens'!C2=0),"Kies een openstelling op tabblad '1. Aanvraaggegevens'",'1. Aanvraaggegevens'!C2)</f>
        <v>Kies een openstelling op tabblad '1. Aanvraaggegevens'</v>
      </c>
      <c r="D1" s="149"/>
      <c r="E1" s="155"/>
      <c r="F1" s="155"/>
      <c r="G1" s="155"/>
      <c r="H1" s="155"/>
      <c r="I1" s="155"/>
      <c r="J1" s="155"/>
      <c r="K1" s="155"/>
      <c r="L1" s="155"/>
      <c r="M1" s="155"/>
      <c r="N1" s="155"/>
      <c r="O1" s="155"/>
      <c r="P1" s="155"/>
      <c r="Q1" s="155"/>
      <c r="R1" s="155"/>
      <c r="S1" s="155"/>
      <c r="T1" s="155"/>
      <c r="U1" s="155"/>
    </row>
    <row r="2" spans="1:21" ht="15" customHeight="1" x14ac:dyDescent="0.25">
      <c r="A2" s="156"/>
      <c r="B2" s="157" t="s">
        <v>20</v>
      </c>
      <c r="C2" s="327" t="str">
        <f>IF(OR('1. Aanvraaggegevens'!C8="",'1. Aanvraaggegevens'!C8=0),"Kies een berekeningsmethode op tabblad '1. Aanvraaggegevens'",'1. Aanvraaggegevens'!C8)</f>
        <v>Kies een berekeningsmethode op tabblad '1. Aanvraaggegevens'</v>
      </c>
      <c r="D2" s="158"/>
      <c r="E2" s="159"/>
      <c r="F2" s="159"/>
      <c r="G2" s="159"/>
      <c r="H2" s="159"/>
      <c r="I2" s="159"/>
      <c r="J2" s="159"/>
      <c r="K2" s="159"/>
      <c r="L2" s="159"/>
      <c r="M2" s="159"/>
      <c r="N2" s="159"/>
      <c r="O2" s="159"/>
      <c r="P2" s="159"/>
      <c r="Q2" s="159"/>
      <c r="R2" s="159"/>
      <c r="S2" s="159"/>
      <c r="T2" s="159"/>
      <c r="U2" s="159"/>
    </row>
    <row r="3" spans="1:21" ht="15" customHeight="1" x14ac:dyDescent="0.25">
      <c r="A3" s="143"/>
      <c r="B3" s="143"/>
      <c r="C3" s="143"/>
      <c r="D3" s="143"/>
      <c r="E3" s="144"/>
      <c r="F3" s="144"/>
      <c r="G3" s="144"/>
      <c r="H3" s="145"/>
      <c r="I3" s="146"/>
      <c r="J3" s="353" t="s">
        <v>4</v>
      </c>
      <c r="K3" s="354"/>
      <c r="L3" s="355" t="s">
        <v>65</v>
      </c>
      <c r="M3" s="354"/>
      <c r="N3" s="353" t="s">
        <v>50</v>
      </c>
      <c r="O3" s="354"/>
      <c r="P3" s="353" t="s">
        <v>6</v>
      </c>
      <c r="Q3" s="354"/>
      <c r="R3" s="353" t="s">
        <v>226</v>
      </c>
      <c r="S3" s="354"/>
      <c r="T3" s="147"/>
      <c r="U3" s="147"/>
    </row>
    <row r="4" spans="1:21" ht="15" customHeight="1" x14ac:dyDescent="0.25">
      <c r="A4" s="135"/>
      <c r="B4" s="133"/>
      <c r="C4" s="134"/>
      <c r="D4" s="135"/>
      <c r="E4" s="135"/>
      <c r="F4" s="135"/>
      <c r="G4" s="136"/>
      <c r="H4" s="133"/>
      <c r="I4" s="137"/>
      <c r="J4" s="138"/>
      <c r="K4" s="139"/>
      <c r="L4" s="140"/>
      <c r="M4" s="139"/>
      <c r="N4" s="138"/>
      <c r="O4" s="139"/>
      <c r="P4" s="91">
        <f ca="1" xml:space="preserve"> SUBTOTAL(9,P6:P105)</f>
        <v>0</v>
      </c>
      <c r="Q4" s="91">
        <f ca="1" xml:space="preserve"> SUBTOTAL(9,Q6:Q105)</f>
        <v>0</v>
      </c>
      <c r="R4" s="91">
        <f ca="1" xml:space="preserve"> SUBTOTAL(9,R6:R105)</f>
        <v>0</v>
      </c>
      <c r="S4" s="91">
        <f ca="1" xml:space="preserve"> SUBTOTAL(9,S6:S105)</f>
        <v>0</v>
      </c>
      <c r="T4" s="141"/>
      <c r="U4" s="142"/>
    </row>
    <row r="5" spans="1:21" ht="30" x14ac:dyDescent="0.25">
      <c r="A5" s="150" t="s">
        <v>148</v>
      </c>
      <c r="B5" s="150" t="s">
        <v>62</v>
      </c>
      <c r="C5" s="150" t="s">
        <v>2</v>
      </c>
      <c r="D5" s="150" t="s">
        <v>38</v>
      </c>
      <c r="E5" s="150" t="s">
        <v>166</v>
      </c>
      <c r="F5" s="150" t="s">
        <v>0</v>
      </c>
      <c r="G5" s="150" t="s">
        <v>219</v>
      </c>
      <c r="H5" s="150" t="s">
        <v>42</v>
      </c>
      <c r="I5" s="87" t="s">
        <v>217</v>
      </c>
      <c r="J5" s="87" t="s">
        <v>64</v>
      </c>
      <c r="K5" s="150" t="s">
        <v>63</v>
      </c>
      <c r="L5" s="87" t="s">
        <v>64</v>
      </c>
      <c r="M5" s="150" t="s">
        <v>63</v>
      </c>
      <c r="N5" s="87" t="s">
        <v>64</v>
      </c>
      <c r="O5" s="150" t="s">
        <v>63</v>
      </c>
      <c r="P5" s="87" t="s">
        <v>64</v>
      </c>
      <c r="Q5" s="150" t="s">
        <v>63</v>
      </c>
      <c r="R5" s="87" t="s">
        <v>64</v>
      </c>
      <c r="S5" s="150" t="s">
        <v>63</v>
      </c>
      <c r="T5" s="151" t="s">
        <v>56</v>
      </c>
      <c r="U5" s="152" t="s">
        <v>66</v>
      </c>
    </row>
    <row r="6" spans="1:21" ht="15" customHeight="1" x14ac:dyDescent="0.25">
      <c r="A6" s="258">
        <v>1</v>
      </c>
      <c r="B6" s="259"/>
      <c r="C6" s="259"/>
      <c r="D6" s="259"/>
      <c r="E6" s="259"/>
      <c r="F6" s="259"/>
      <c r="G6" s="260"/>
      <c r="H6" s="261" t="str">
        <f ca="1">IFERROR(IF(VLOOKUP(F6,Kostentypen!$A$3:$E$20,3,0)=0,"",IF(F6="Arbeidskosten",VLOOKUP(G6,Tb_KostenTypen[],2,0),VLOOKUP(F6,Kostentypen!$A$3:$E$20,3,0))),"")</f>
        <v/>
      </c>
      <c r="I6" s="260"/>
      <c r="J6" s="262"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2"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3"/>
      <c r="M6" s="263"/>
      <c r="N6" s="264"/>
      <c r="O6" s="264"/>
      <c r="P6" s="265" t="str" cm="1">
        <f t="array" aca="1" ref="P6" ca="1">_xlfn.IFNA(_xlfn.IFS(T6="Dit kostentype hoeft u niet op te geven. Hiervoor wordt een forfait berekend.","",AND(J6&lt;&gt;"",OR(H6="Uurtarief",H6="Vast tarief")),J6*L6,AND(N6&gt;0,H6="-"),N6),"")</f>
        <v/>
      </c>
      <c r="Q6" s="265" t="str" cm="1">
        <f t="array" aca="1" ref="Q6" ca="1">_xlfn.IFNA(_xlfn.IFS(T6="Dit kostentype hoeft u niet op te geven. Hiervoor wordt een forfait berekend.","",AND(K6&lt;&gt;"",M6&lt;&gt;"",OR(H6="Uurtarief",H6="Vast tarief")),K6*M6,AND(O6&lt;&gt;"",H6="-"),O6),"")</f>
        <v/>
      </c>
      <c r="R6" s="265"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5"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6" t="str">
        <f>IFERROR(VLOOKUP(F6,Tb_ProjectKosten[#All],11,0),"")</f>
        <v/>
      </c>
      <c r="U6" s="257"/>
    </row>
    <row r="7" spans="1:21" ht="15" customHeight="1" x14ac:dyDescent="0.25">
      <c r="A7" s="258">
        <v>2</v>
      </c>
      <c r="B7" s="259"/>
      <c r="C7" s="259"/>
      <c r="D7" s="259"/>
      <c r="E7" s="259"/>
      <c r="F7" s="259"/>
      <c r="G7" s="260"/>
      <c r="H7" s="261" t="str">
        <f ca="1">IFERROR(IF(VLOOKUP(F7,Kostentypen!$A$3:$E$20,3,0)=0,"",IF(F7="Arbeidskosten",VLOOKUP(G7,Tb_KostenTypen[],2,0),VLOOKUP(F7,Kostentypen!$A$3:$E$20,3,0))),"")</f>
        <v/>
      </c>
      <c r="I7" s="260"/>
      <c r="J7" s="262"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2"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3"/>
      <c r="M7" s="263"/>
      <c r="N7" s="264"/>
      <c r="O7" s="264"/>
      <c r="P7" s="265" t="str" cm="1">
        <f t="array" aca="1" ref="P7" ca="1">_xlfn.IFNA(_xlfn.IFS(T7="Dit kostentype hoeft u niet op te geven. Hiervoor wordt een forfait berekend.","",AND(J7&lt;&gt;"",OR(H7="Uurtarief",H7="Vast tarief")),J7*L7,AND(N7&gt;0,H7="-"),N7),"")</f>
        <v/>
      </c>
      <c r="Q7" s="265" t="str" cm="1">
        <f t="array" aca="1" ref="Q7" ca="1">_xlfn.IFNA(_xlfn.IFS(T7="Dit kostentype hoeft u niet op te geven. Hiervoor wordt een forfait berekend.","",AND(K7&lt;&gt;"",M7&lt;&gt;"",OR(H7="Uurtarief",H7="Vast tarief")),K7*M7,AND(O7&lt;&gt;"",H7="-"),O7),"")</f>
        <v/>
      </c>
      <c r="R7" s="265"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5"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6" t="str">
        <f>IFERROR(VLOOKUP(F7,Tb_ProjectKosten[#All],11,0),"")</f>
        <v/>
      </c>
      <c r="U7" s="257"/>
    </row>
    <row r="8" spans="1:21" ht="15" customHeight="1" x14ac:dyDescent="0.25">
      <c r="A8" s="258">
        <v>3</v>
      </c>
      <c r="B8" s="259"/>
      <c r="C8" s="259"/>
      <c r="D8" s="259"/>
      <c r="E8" s="259"/>
      <c r="F8" s="259"/>
      <c r="G8" s="260"/>
      <c r="H8" s="261" t="str">
        <f ca="1">IFERROR(IF(VLOOKUP(F8,Kostentypen!$A$3:$E$20,3,0)=0,"",IF(F8="Arbeidskosten",VLOOKUP(G8,Tb_KostenTypen[],2,0),VLOOKUP(F8,Kostentypen!$A$3:$E$20,3,0))),"")</f>
        <v/>
      </c>
      <c r="I8" s="260"/>
      <c r="J8" s="262"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2"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3"/>
      <c r="M8" s="263"/>
      <c r="N8" s="264"/>
      <c r="O8" s="264"/>
      <c r="P8" s="265" t="str" cm="1">
        <f t="array" aca="1" ref="P8" ca="1">_xlfn.IFNA(_xlfn.IFS(T8="Dit kostentype hoeft u niet op te geven. Hiervoor wordt een forfait berekend.","",AND(J8&lt;&gt;"",OR(H8="Uurtarief",H8="Vast tarief")),J8*L8,AND(N8&gt;0,H8="-"),N8),"")</f>
        <v/>
      </c>
      <c r="Q8" s="265" t="str" cm="1">
        <f t="array" aca="1" ref="Q8" ca="1">_xlfn.IFNA(_xlfn.IFS(T8="Dit kostentype hoeft u niet op te geven. Hiervoor wordt een forfait berekend.","",AND(K8&lt;&gt;"",M8&lt;&gt;"",OR(H8="Uurtarief",H8="Vast tarief")),K8*M8,AND(O8&lt;&gt;"",H8="-"),O8),"")</f>
        <v/>
      </c>
      <c r="R8" s="265"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5"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6" t="str">
        <f>IFERROR(VLOOKUP(F8,Tb_ProjectKosten[#All],11,0),"")</f>
        <v/>
      </c>
      <c r="U8" s="257"/>
    </row>
    <row r="9" spans="1:21" ht="15" customHeight="1" x14ac:dyDescent="0.25">
      <c r="A9" s="258">
        <v>4</v>
      </c>
      <c r="B9" s="259"/>
      <c r="C9" s="259"/>
      <c r="D9" s="259"/>
      <c r="E9" s="259"/>
      <c r="F9" s="259"/>
      <c r="G9" s="260"/>
      <c r="H9" s="261" t="str">
        <f ca="1">IFERROR(IF(VLOOKUP(F9,Kostentypen!$A$3:$E$20,3,0)=0,"",IF(F9="Arbeidskosten",VLOOKUP(G9,Tb_KostenTypen[],2,0),VLOOKUP(F9,Kostentypen!$A$3:$E$20,3,0))),"")</f>
        <v/>
      </c>
      <c r="I9" s="260"/>
      <c r="J9" s="262"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2"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3"/>
      <c r="M9" s="263"/>
      <c r="N9" s="264"/>
      <c r="O9" s="264"/>
      <c r="P9" s="265" t="str" cm="1">
        <f t="array" aca="1" ref="P9" ca="1">_xlfn.IFNA(_xlfn.IFS(T9="Dit kostentype hoeft u niet op te geven. Hiervoor wordt een forfait berekend.","",AND(J9&lt;&gt;"",OR(H9="Uurtarief",H9="Vast tarief")),J9*L9,AND(N9&gt;0,H9="-"),N9),"")</f>
        <v/>
      </c>
      <c r="Q9" s="265" t="str" cm="1">
        <f t="array" aca="1" ref="Q9" ca="1">_xlfn.IFNA(_xlfn.IFS(T9="Dit kostentype hoeft u niet op te geven. Hiervoor wordt een forfait berekend.","",AND(K9&lt;&gt;"",M9&lt;&gt;"",OR(H9="Uurtarief",H9="Vast tarief")),K9*M9,AND(O9&lt;&gt;"",H9="-"),O9),"")</f>
        <v/>
      </c>
      <c r="R9" s="265"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5"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6" t="str">
        <f>IFERROR(VLOOKUP(F9,Tb_ProjectKosten[#All],11,0),"")</f>
        <v/>
      </c>
      <c r="U9" s="257"/>
    </row>
    <row r="10" spans="1:21" ht="15" customHeight="1" x14ac:dyDescent="0.25">
      <c r="A10" s="258">
        <v>5</v>
      </c>
      <c r="B10" s="259"/>
      <c r="C10" s="259"/>
      <c r="D10" s="259"/>
      <c r="E10" s="259"/>
      <c r="F10" s="259"/>
      <c r="G10" s="260"/>
      <c r="H10" s="261" t="str">
        <f ca="1">IFERROR(IF(VLOOKUP(F10,Kostentypen!$A$3:$E$20,3,0)=0,"",IF(F10="Arbeidskosten",VLOOKUP(G10,Tb_KostenTypen[],2,0),VLOOKUP(F10,Kostentypen!$A$3:$E$20,3,0))),"")</f>
        <v/>
      </c>
      <c r="I10" s="260"/>
      <c r="J10" s="262"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2"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3"/>
      <c r="M10" s="263"/>
      <c r="N10" s="264"/>
      <c r="O10" s="264"/>
      <c r="P10" s="265" t="str" cm="1">
        <f t="array" aca="1" ref="P10" ca="1">_xlfn.IFNA(_xlfn.IFS(T10="Dit kostentype hoeft u niet op te geven. Hiervoor wordt een forfait berekend.","",AND(J10&lt;&gt;"",OR(H10="Uurtarief",H10="Vast tarief")),J10*L10,AND(N10&gt;0,H10="-"),N10),"")</f>
        <v/>
      </c>
      <c r="Q10" s="265" t="str" cm="1">
        <f t="array" aca="1" ref="Q10" ca="1">_xlfn.IFNA(_xlfn.IFS(T10="Dit kostentype hoeft u niet op te geven. Hiervoor wordt een forfait berekend.","",AND(K10&lt;&gt;"",M10&lt;&gt;"",OR(H10="Uurtarief",H10="Vast tarief")),K10*M10,AND(O10&lt;&gt;"",H10="-"),O10),"")</f>
        <v/>
      </c>
      <c r="R10" s="265"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5"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6" t="str">
        <f>IFERROR(VLOOKUP(F10,Tb_ProjectKosten[#All],11,0),"")</f>
        <v/>
      </c>
      <c r="U10" s="257"/>
    </row>
    <row r="11" spans="1:21" ht="15" customHeight="1" x14ac:dyDescent="0.25">
      <c r="A11" s="258">
        <v>6</v>
      </c>
      <c r="B11" s="259"/>
      <c r="C11" s="259"/>
      <c r="D11" s="259"/>
      <c r="E11" s="259"/>
      <c r="F11" s="259"/>
      <c r="G11" s="260"/>
      <c r="H11" s="261" t="str">
        <f ca="1">IFERROR(IF(VLOOKUP(F11,Kostentypen!$A$3:$E$20,3,0)=0,"",IF(F11="Arbeidskosten",VLOOKUP(G11,Tb_KostenTypen[],2,0),VLOOKUP(F11,Kostentypen!$A$3:$E$20,3,0))),"")</f>
        <v/>
      </c>
      <c r="I11" s="260"/>
      <c r="J11" s="262"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2"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3"/>
      <c r="M11" s="263"/>
      <c r="N11" s="264"/>
      <c r="O11" s="264"/>
      <c r="P11" s="265" t="str" cm="1">
        <f t="array" aca="1" ref="P11" ca="1">_xlfn.IFNA(_xlfn.IFS(T11="Dit kostentype hoeft u niet op te geven. Hiervoor wordt een forfait berekend.","",AND(J11&lt;&gt;"",OR(H11="Uurtarief",H11="Vast tarief")),J11*L11,AND(N11&gt;0,H11="-"),N11),"")</f>
        <v/>
      </c>
      <c r="Q11" s="265" t="str" cm="1">
        <f t="array" aca="1" ref="Q11" ca="1">_xlfn.IFNA(_xlfn.IFS(T11="Dit kostentype hoeft u niet op te geven. Hiervoor wordt een forfait berekend.","",AND(K11&lt;&gt;"",M11&lt;&gt;"",OR(H11="Uurtarief",H11="Vast tarief")),K11*M11,AND(O11&lt;&gt;"",H11="-"),O11),"")</f>
        <v/>
      </c>
      <c r="R11" s="265"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5"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6" t="str">
        <f>IFERROR(VLOOKUP(F11,Tb_ProjectKosten[#All],11,0),"")</f>
        <v/>
      </c>
      <c r="U11" s="257"/>
    </row>
    <row r="12" spans="1:21" ht="15" customHeight="1" x14ac:dyDescent="0.25">
      <c r="A12" s="258">
        <v>7</v>
      </c>
      <c r="B12" s="259"/>
      <c r="C12" s="259"/>
      <c r="D12" s="259"/>
      <c r="E12" s="259"/>
      <c r="F12" s="259"/>
      <c r="G12" s="260"/>
      <c r="H12" s="261" t="str">
        <f ca="1">IFERROR(IF(VLOOKUP(F12,Kostentypen!$A$3:$E$20,3,0)=0,"",IF(F12="Arbeidskosten",VLOOKUP(G12,Tb_KostenTypen[],2,0),VLOOKUP(F12,Kostentypen!$A$3:$E$20,3,0))),"")</f>
        <v/>
      </c>
      <c r="I12" s="260"/>
      <c r="J12" s="262"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2"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3"/>
      <c r="M12" s="263"/>
      <c r="N12" s="264"/>
      <c r="O12" s="264"/>
      <c r="P12" s="265" t="str" cm="1">
        <f t="array" aca="1" ref="P12" ca="1">_xlfn.IFNA(_xlfn.IFS(T12="Dit kostentype hoeft u niet op te geven. Hiervoor wordt een forfait berekend.","",AND(J12&lt;&gt;"",OR(H12="Uurtarief",H12="Vast tarief")),J12*L12,AND(N12&gt;0,H12="-"),N12),"")</f>
        <v/>
      </c>
      <c r="Q12" s="265" t="str" cm="1">
        <f t="array" aca="1" ref="Q12" ca="1">_xlfn.IFNA(_xlfn.IFS(T12="Dit kostentype hoeft u niet op te geven. Hiervoor wordt een forfait berekend.","",AND(K12&lt;&gt;"",M12&lt;&gt;"",OR(H12="Uurtarief",H12="Vast tarief")),K12*M12,AND(O12&lt;&gt;"",H12="-"),O12),"")</f>
        <v/>
      </c>
      <c r="R12" s="265"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5"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6" t="str">
        <f>IFERROR(VLOOKUP(F12,Tb_ProjectKosten[#All],11,0),"")</f>
        <v/>
      </c>
      <c r="U12" s="257"/>
    </row>
    <row r="13" spans="1:21" ht="15" customHeight="1" x14ac:dyDescent="0.25">
      <c r="A13" s="258">
        <v>8</v>
      </c>
      <c r="B13" s="259"/>
      <c r="C13" s="259"/>
      <c r="D13" s="259"/>
      <c r="E13" s="259"/>
      <c r="F13" s="259"/>
      <c r="G13" s="260"/>
      <c r="H13" s="261" t="str">
        <f ca="1">IFERROR(IF(VLOOKUP(F13,Kostentypen!$A$3:$E$20,3,0)=0,"",IF(F13="Arbeidskosten",VLOOKUP(G13,Tb_KostenTypen[],2,0),VLOOKUP(F13,Kostentypen!$A$3:$E$20,3,0))),"")</f>
        <v/>
      </c>
      <c r="I13" s="260"/>
      <c r="J13" s="262"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2"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3"/>
      <c r="M13" s="263"/>
      <c r="N13" s="264"/>
      <c r="O13" s="264"/>
      <c r="P13" s="265" t="str" cm="1">
        <f t="array" aca="1" ref="P13" ca="1">_xlfn.IFNA(_xlfn.IFS(T13="Dit kostentype hoeft u niet op te geven. Hiervoor wordt een forfait berekend.","",AND(J13&lt;&gt;"",OR(H13="Uurtarief",H13="Vast tarief")),J13*L13,AND(N13&gt;0,H13="-"),N13),"")</f>
        <v/>
      </c>
      <c r="Q13" s="265" t="str" cm="1">
        <f t="array" aca="1" ref="Q13" ca="1">_xlfn.IFNA(_xlfn.IFS(T13="Dit kostentype hoeft u niet op te geven. Hiervoor wordt een forfait berekend.","",AND(K13&lt;&gt;"",M13&lt;&gt;"",OR(H13="Uurtarief",H13="Vast tarief")),K13*M13,AND(O13&lt;&gt;"",H13="-"),O13),"")</f>
        <v/>
      </c>
      <c r="R13" s="265"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5"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6" t="str">
        <f>IFERROR(VLOOKUP(F13,Tb_ProjectKosten[#All],11,0),"")</f>
        <v/>
      </c>
      <c r="U13" s="257"/>
    </row>
    <row r="14" spans="1:21" ht="15" customHeight="1" x14ac:dyDescent="0.25">
      <c r="A14" s="258">
        <v>9</v>
      </c>
      <c r="B14" s="259"/>
      <c r="C14" s="259"/>
      <c r="D14" s="259"/>
      <c r="E14" s="259"/>
      <c r="F14" s="259"/>
      <c r="G14" s="260"/>
      <c r="H14" s="261" t="str">
        <f ca="1">IFERROR(IF(VLOOKUP(F14,Kostentypen!$A$3:$E$20,3,0)=0,"",IF(F14="Arbeidskosten",VLOOKUP(G14,Tb_KostenTypen[],2,0),VLOOKUP(F14,Kostentypen!$A$3:$E$20,3,0))),"")</f>
        <v/>
      </c>
      <c r="I14" s="260"/>
      <c r="J14" s="262"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2"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3"/>
      <c r="M14" s="263"/>
      <c r="N14" s="264"/>
      <c r="O14" s="264"/>
      <c r="P14" s="265" t="str" cm="1">
        <f t="array" aca="1" ref="P14" ca="1">_xlfn.IFNA(_xlfn.IFS(T14="Dit kostentype hoeft u niet op te geven. Hiervoor wordt een forfait berekend.","",AND(J14&lt;&gt;"",OR(H14="Uurtarief",H14="Vast tarief")),J14*L14,AND(N14&gt;0,H14="-"),N14),"")</f>
        <v/>
      </c>
      <c r="Q14" s="265" t="str" cm="1">
        <f t="array" aca="1" ref="Q14" ca="1">_xlfn.IFNA(_xlfn.IFS(T14="Dit kostentype hoeft u niet op te geven. Hiervoor wordt een forfait berekend.","",AND(K14&lt;&gt;"",M14&lt;&gt;"",OR(H14="Uurtarief",H14="Vast tarief")),K14*M14,AND(O14&lt;&gt;"",H14="-"),O14),"")</f>
        <v/>
      </c>
      <c r="R14" s="265"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5"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6" t="str">
        <f>IFERROR(VLOOKUP(F14,Tb_ProjectKosten[#All],11,0),"")</f>
        <v/>
      </c>
      <c r="U14" s="257"/>
    </row>
    <row r="15" spans="1:21" ht="15" customHeight="1" x14ac:dyDescent="0.25">
      <c r="A15" s="258">
        <v>10</v>
      </c>
      <c r="B15" s="259"/>
      <c r="C15" s="259"/>
      <c r="D15" s="259"/>
      <c r="E15" s="259"/>
      <c r="F15" s="259"/>
      <c r="G15" s="260"/>
      <c r="H15" s="261" t="str">
        <f ca="1">IFERROR(IF(VLOOKUP(F15,Kostentypen!$A$3:$E$20,3,0)=0,"",IF(F15="Arbeidskosten",VLOOKUP(G15,Tb_KostenTypen[],2,0),VLOOKUP(F15,Kostentypen!$A$3:$E$20,3,0))),"")</f>
        <v/>
      </c>
      <c r="I15" s="260"/>
      <c r="J15" s="262"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2"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3"/>
      <c r="M15" s="263"/>
      <c r="N15" s="264"/>
      <c r="O15" s="264"/>
      <c r="P15" s="265" t="str" cm="1">
        <f t="array" aca="1" ref="P15" ca="1">_xlfn.IFNA(_xlfn.IFS(T15="Dit kostentype hoeft u niet op te geven. Hiervoor wordt een forfait berekend.","",AND(J15&lt;&gt;"",OR(H15="Uurtarief",H15="Vast tarief")),J15*L15,AND(N15&gt;0,H15="-"),N15),"")</f>
        <v/>
      </c>
      <c r="Q15" s="265" t="str" cm="1">
        <f t="array" aca="1" ref="Q15" ca="1">_xlfn.IFNA(_xlfn.IFS(T15="Dit kostentype hoeft u niet op te geven. Hiervoor wordt een forfait berekend.","",AND(K15&lt;&gt;"",M15&lt;&gt;"",OR(H15="Uurtarief",H15="Vast tarief")),K15*M15,AND(O15&lt;&gt;"",H15="-"),O15),"")</f>
        <v/>
      </c>
      <c r="R15" s="265"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5"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6" t="str">
        <f>IFERROR(VLOOKUP(F15,Tb_ProjectKosten[#All],11,0),"")</f>
        <v/>
      </c>
      <c r="U15" s="257"/>
    </row>
    <row r="16" spans="1:21" ht="15" customHeight="1" x14ac:dyDescent="0.25">
      <c r="A16" s="258">
        <v>11</v>
      </c>
      <c r="B16" s="259"/>
      <c r="C16" s="259"/>
      <c r="D16" s="259"/>
      <c r="E16" s="259"/>
      <c r="F16" s="259"/>
      <c r="G16" s="260"/>
      <c r="H16" s="261" t="str">
        <f ca="1">IFERROR(IF(VLOOKUP(F16,Kostentypen!$A$3:$E$20,3,0)=0,"",IF(F16="Arbeidskosten",VLOOKUP(G16,Tb_KostenTypen[],2,0),VLOOKUP(F16,Kostentypen!$A$3:$E$20,3,0))),"")</f>
        <v/>
      </c>
      <c r="I16" s="260"/>
      <c r="J16" s="262"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2"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3"/>
      <c r="M16" s="263"/>
      <c r="N16" s="264"/>
      <c r="O16" s="264"/>
      <c r="P16" s="265" t="str" cm="1">
        <f t="array" aca="1" ref="P16" ca="1">_xlfn.IFNA(_xlfn.IFS(T16="Dit kostentype hoeft u niet op te geven. Hiervoor wordt een forfait berekend.","",AND(J16&lt;&gt;"",OR(H16="Uurtarief",H16="Vast tarief")),J16*L16,AND(N16&gt;0,H16="-"),N16),"")</f>
        <v/>
      </c>
      <c r="Q16" s="265" t="str" cm="1">
        <f t="array" aca="1" ref="Q16" ca="1">_xlfn.IFNA(_xlfn.IFS(T16="Dit kostentype hoeft u niet op te geven. Hiervoor wordt een forfait berekend.","",AND(K16&lt;&gt;"",M16&lt;&gt;"",OR(H16="Uurtarief",H16="Vast tarief")),K16*M16,AND(O16&lt;&gt;"",H16="-"),O16),"")</f>
        <v/>
      </c>
      <c r="R16" s="265"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5"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6" t="str">
        <f>IFERROR(VLOOKUP(F16,Tb_ProjectKosten[#All],11,0),"")</f>
        <v/>
      </c>
      <c r="U16" s="257"/>
    </row>
    <row r="17" spans="1:21" ht="15" customHeight="1" x14ac:dyDescent="0.25">
      <c r="A17" s="258">
        <v>12</v>
      </c>
      <c r="B17" s="259"/>
      <c r="C17" s="259"/>
      <c r="D17" s="259"/>
      <c r="E17" s="259"/>
      <c r="F17" s="259"/>
      <c r="G17" s="260"/>
      <c r="H17" s="261" t="str">
        <f ca="1">IFERROR(IF(VLOOKUP(F17,Kostentypen!$A$3:$E$20,3,0)=0,"",IF(F17="Arbeidskosten",VLOOKUP(G17,Tb_KostenTypen[],2,0),VLOOKUP(F17,Kostentypen!$A$3:$E$20,3,0))),"")</f>
        <v/>
      </c>
      <c r="I17" s="260"/>
      <c r="J17" s="262"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2"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3"/>
      <c r="M17" s="263"/>
      <c r="N17" s="264"/>
      <c r="O17" s="264"/>
      <c r="P17" s="265" t="str" cm="1">
        <f t="array" aca="1" ref="P17" ca="1">_xlfn.IFNA(_xlfn.IFS(T17="Dit kostentype hoeft u niet op te geven. Hiervoor wordt een forfait berekend.","",AND(J17&lt;&gt;"",OR(H17="Uurtarief",H17="Vast tarief")),J17*L17,AND(N17&gt;0,H17="-"),N17),"")</f>
        <v/>
      </c>
      <c r="Q17" s="265" t="str" cm="1">
        <f t="array" aca="1" ref="Q17" ca="1">_xlfn.IFNA(_xlfn.IFS(T17="Dit kostentype hoeft u niet op te geven. Hiervoor wordt een forfait berekend.","",AND(K17&lt;&gt;"",M17&lt;&gt;"",OR(H17="Uurtarief",H17="Vast tarief")),K17*M17,AND(O17&lt;&gt;"",H17="-"),O17),"")</f>
        <v/>
      </c>
      <c r="R17" s="265"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5"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6" t="str">
        <f>IFERROR(VLOOKUP(F17,Tb_ProjectKosten[#All],11,0),"")</f>
        <v/>
      </c>
      <c r="U17" s="257"/>
    </row>
    <row r="18" spans="1:21" ht="15" customHeight="1" x14ac:dyDescent="0.25">
      <c r="A18" s="258">
        <v>13</v>
      </c>
      <c r="B18" s="259"/>
      <c r="C18" s="259"/>
      <c r="D18" s="259"/>
      <c r="E18" s="259"/>
      <c r="F18" s="259"/>
      <c r="G18" s="260"/>
      <c r="H18" s="261" t="str">
        <f ca="1">IFERROR(IF(VLOOKUP(F18,Kostentypen!$A$3:$E$20,3,0)=0,"",IF(F18="Arbeidskosten",VLOOKUP(G18,Tb_KostenTypen[],2,0),VLOOKUP(F18,Kostentypen!$A$3:$E$20,3,0))),"")</f>
        <v/>
      </c>
      <c r="I18" s="260"/>
      <c r="J18" s="262"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2"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3"/>
      <c r="M18" s="263"/>
      <c r="N18" s="264"/>
      <c r="O18" s="264"/>
      <c r="P18" s="265" t="str" cm="1">
        <f t="array" aca="1" ref="P18" ca="1">_xlfn.IFNA(_xlfn.IFS(T18="Dit kostentype hoeft u niet op te geven. Hiervoor wordt een forfait berekend.","",AND(J18&lt;&gt;"",OR(H18="Uurtarief",H18="Vast tarief")),J18*L18,AND(N18&gt;0,H18="-"),N18),"")</f>
        <v/>
      </c>
      <c r="Q18" s="265" t="str" cm="1">
        <f t="array" aca="1" ref="Q18" ca="1">_xlfn.IFNA(_xlfn.IFS(T18="Dit kostentype hoeft u niet op te geven. Hiervoor wordt een forfait berekend.","",AND(K18&lt;&gt;"",M18&lt;&gt;"",OR(H18="Uurtarief",H18="Vast tarief")),K18*M18,AND(O18&lt;&gt;"",H18="-"),O18),"")</f>
        <v/>
      </c>
      <c r="R18" s="265"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5"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6" t="str">
        <f>IFERROR(VLOOKUP(F18,Tb_ProjectKosten[#All],11,0),"")</f>
        <v/>
      </c>
      <c r="U18" s="257"/>
    </row>
    <row r="19" spans="1:21" ht="15" customHeight="1" x14ac:dyDescent="0.25">
      <c r="A19" s="258">
        <v>14</v>
      </c>
      <c r="B19" s="259"/>
      <c r="C19" s="259"/>
      <c r="D19" s="259"/>
      <c r="E19" s="259"/>
      <c r="F19" s="259"/>
      <c r="G19" s="260"/>
      <c r="H19" s="261" t="str">
        <f ca="1">IFERROR(IF(VLOOKUP(F19,Kostentypen!$A$3:$E$20,3,0)=0,"",IF(F19="Arbeidskosten",VLOOKUP(G19,Tb_KostenTypen[],2,0),VLOOKUP(F19,Kostentypen!$A$3:$E$20,3,0))),"")</f>
        <v/>
      </c>
      <c r="I19" s="260"/>
      <c r="J19" s="262"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2"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3"/>
      <c r="M19" s="263"/>
      <c r="N19" s="264"/>
      <c r="O19" s="264"/>
      <c r="P19" s="265" t="str" cm="1">
        <f t="array" aca="1" ref="P19" ca="1">_xlfn.IFNA(_xlfn.IFS(T19="Dit kostentype hoeft u niet op te geven. Hiervoor wordt een forfait berekend.","",AND(J19&lt;&gt;"",OR(H19="Uurtarief",H19="Vast tarief")),J19*L19,AND(N19&gt;0,H19="-"),N19),"")</f>
        <v/>
      </c>
      <c r="Q19" s="265" t="str" cm="1">
        <f t="array" aca="1" ref="Q19" ca="1">_xlfn.IFNA(_xlfn.IFS(T19="Dit kostentype hoeft u niet op te geven. Hiervoor wordt een forfait berekend.","",AND(K19&lt;&gt;"",M19&lt;&gt;"",OR(H19="Uurtarief",H19="Vast tarief")),K19*M19,AND(O19&lt;&gt;"",H19="-"),O19),"")</f>
        <v/>
      </c>
      <c r="R19" s="265"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5"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6" t="str">
        <f>IFERROR(VLOOKUP(F19,Tb_ProjectKosten[#All],11,0),"")</f>
        <v/>
      </c>
      <c r="U19" s="257"/>
    </row>
    <row r="20" spans="1:21" ht="15" customHeight="1" x14ac:dyDescent="0.25">
      <c r="A20" s="258">
        <v>15</v>
      </c>
      <c r="B20" s="259"/>
      <c r="C20" s="259"/>
      <c r="D20" s="259"/>
      <c r="E20" s="259"/>
      <c r="F20" s="259"/>
      <c r="G20" s="260"/>
      <c r="H20" s="261" t="str">
        <f ca="1">IFERROR(IF(VLOOKUP(F20,Kostentypen!$A$3:$E$20,3,0)=0,"",IF(F20="Arbeidskosten",VLOOKUP(G20,Tb_KostenTypen[],2,0),VLOOKUP(F20,Kostentypen!$A$3:$E$20,3,0))),"")</f>
        <v/>
      </c>
      <c r="I20" s="260"/>
      <c r="J20" s="262"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2"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3"/>
      <c r="M20" s="263"/>
      <c r="N20" s="264"/>
      <c r="O20" s="264"/>
      <c r="P20" s="265" t="str" cm="1">
        <f t="array" aca="1" ref="P20" ca="1">_xlfn.IFNA(_xlfn.IFS(T20="Dit kostentype hoeft u niet op te geven. Hiervoor wordt een forfait berekend.","",AND(J20&lt;&gt;"",OR(H20="Uurtarief",H20="Vast tarief")),J20*L20,AND(N20&gt;0,H20="-"),N20),"")</f>
        <v/>
      </c>
      <c r="Q20" s="265" t="str" cm="1">
        <f t="array" aca="1" ref="Q20" ca="1">_xlfn.IFNA(_xlfn.IFS(T20="Dit kostentype hoeft u niet op te geven. Hiervoor wordt een forfait berekend.","",AND(K20&lt;&gt;"",M20&lt;&gt;"",OR(H20="Uurtarief",H20="Vast tarief")),K20*M20,AND(O20&lt;&gt;"",H20="-"),O20),"")</f>
        <v/>
      </c>
      <c r="R20" s="265"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5"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6" t="str">
        <f>IFERROR(VLOOKUP(F20,Tb_ProjectKosten[#All],11,0),"")</f>
        <v/>
      </c>
      <c r="U20" s="257"/>
    </row>
    <row r="21" spans="1:21" ht="15" customHeight="1" x14ac:dyDescent="0.25">
      <c r="A21" s="258">
        <v>16</v>
      </c>
      <c r="B21" s="259"/>
      <c r="C21" s="259"/>
      <c r="D21" s="259"/>
      <c r="E21" s="259"/>
      <c r="F21" s="259"/>
      <c r="G21" s="260"/>
      <c r="H21" s="261" t="str">
        <f ca="1">IFERROR(IF(VLOOKUP(F21,Kostentypen!$A$3:$E$20,3,0)=0,"",IF(F21="Arbeidskosten",VLOOKUP(G21,Tb_KostenTypen[],2,0),VLOOKUP(F21,Kostentypen!$A$3:$E$20,3,0))),"")</f>
        <v/>
      </c>
      <c r="I21" s="260"/>
      <c r="J21" s="262"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2"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3"/>
      <c r="M21" s="263"/>
      <c r="N21" s="264"/>
      <c r="O21" s="264"/>
      <c r="P21" s="265" t="str" cm="1">
        <f t="array" aca="1" ref="P21" ca="1">_xlfn.IFNA(_xlfn.IFS(T21="Dit kostentype hoeft u niet op te geven. Hiervoor wordt een forfait berekend.","",AND(J21&lt;&gt;"",OR(H21="Uurtarief",H21="Vast tarief")),J21*L21,AND(N21&gt;0,H21="-"),N21),"")</f>
        <v/>
      </c>
      <c r="Q21" s="265" t="str" cm="1">
        <f t="array" aca="1" ref="Q21" ca="1">_xlfn.IFNA(_xlfn.IFS(T21="Dit kostentype hoeft u niet op te geven. Hiervoor wordt een forfait berekend.","",AND(K21&lt;&gt;"",M21&lt;&gt;"",OR(H21="Uurtarief",H21="Vast tarief")),K21*M21,AND(O21&lt;&gt;"",H21="-"),O21),"")</f>
        <v/>
      </c>
      <c r="R21" s="265"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5"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6" t="str">
        <f>IFERROR(VLOOKUP(F21,Tb_ProjectKosten[#All],11,0),"")</f>
        <v/>
      </c>
      <c r="U21" s="257"/>
    </row>
    <row r="22" spans="1:21" ht="15" customHeight="1" x14ac:dyDescent="0.25">
      <c r="A22" s="258">
        <v>17</v>
      </c>
      <c r="B22" s="259"/>
      <c r="C22" s="259"/>
      <c r="D22" s="259"/>
      <c r="E22" s="259"/>
      <c r="F22" s="259"/>
      <c r="G22" s="260"/>
      <c r="H22" s="261" t="str">
        <f ca="1">IFERROR(IF(VLOOKUP(F22,Kostentypen!$A$3:$E$20,3,0)=0,"",IF(F22="Arbeidskosten",VLOOKUP(G22,Tb_KostenTypen[],2,0),VLOOKUP(F22,Kostentypen!$A$3:$E$20,3,0))),"")</f>
        <v/>
      </c>
      <c r="I22" s="260"/>
      <c r="J22" s="262"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2"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3"/>
      <c r="M22" s="263"/>
      <c r="N22" s="264"/>
      <c r="O22" s="264"/>
      <c r="P22" s="265" t="str" cm="1">
        <f t="array" aca="1" ref="P22" ca="1">_xlfn.IFNA(_xlfn.IFS(T22="Dit kostentype hoeft u niet op te geven. Hiervoor wordt een forfait berekend.","",AND(J22&lt;&gt;"",OR(H22="Uurtarief",H22="Vast tarief")),J22*L22,AND(N22&gt;0,H22="-"),N22),"")</f>
        <v/>
      </c>
      <c r="Q22" s="265" t="str" cm="1">
        <f t="array" aca="1" ref="Q22" ca="1">_xlfn.IFNA(_xlfn.IFS(T22="Dit kostentype hoeft u niet op te geven. Hiervoor wordt een forfait berekend.","",AND(K22&lt;&gt;"",M22&lt;&gt;"",OR(H22="Uurtarief",H22="Vast tarief")),K22*M22,AND(O22&lt;&gt;"",H22="-"),O22),"")</f>
        <v/>
      </c>
      <c r="R22" s="265"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5"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6" t="str">
        <f>IFERROR(VLOOKUP(F22,Tb_ProjectKosten[#All],11,0),"")</f>
        <v/>
      </c>
      <c r="U22" s="257"/>
    </row>
    <row r="23" spans="1:21" ht="15" customHeight="1" x14ac:dyDescent="0.25">
      <c r="A23" s="258">
        <v>18</v>
      </c>
      <c r="B23" s="259"/>
      <c r="C23" s="259"/>
      <c r="D23" s="259"/>
      <c r="E23" s="259"/>
      <c r="F23" s="259"/>
      <c r="G23" s="260"/>
      <c r="H23" s="261" t="str">
        <f ca="1">IFERROR(IF(VLOOKUP(F23,Kostentypen!$A$3:$E$20,3,0)=0,"",IF(F23="Arbeidskosten",VLOOKUP(G23,Tb_KostenTypen[],2,0),VLOOKUP(F23,Kostentypen!$A$3:$E$20,3,0))),"")</f>
        <v/>
      </c>
      <c r="I23" s="260"/>
      <c r="J23" s="262"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2"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3"/>
      <c r="M23" s="263"/>
      <c r="N23" s="264"/>
      <c r="O23" s="264"/>
      <c r="P23" s="265" t="str" cm="1">
        <f t="array" aca="1" ref="P23" ca="1">_xlfn.IFNA(_xlfn.IFS(T23="Dit kostentype hoeft u niet op te geven. Hiervoor wordt een forfait berekend.","",AND(J23&lt;&gt;"",OR(H23="Uurtarief",H23="Vast tarief")),J23*L23,AND(N23&gt;0,H23="-"),N23),"")</f>
        <v/>
      </c>
      <c r="Q23" s="265" t="str" cm="1">
        <f t="array" aca="1" ref="Q23" ca="1">_xlfn.IFNA(_xlfn.IFS(T23="Dit kostentype hoeft u niet op te geven. Hiervoor wordt een forfait berekend.","",AND(K23&lt;&gt;"",M23&lt;&gt;"",OR(H23="Uurtarief",H23="Vast tarief")),K23*M23,AND(O23&lt;&gt;"",H23="-"),O23),"")</f>
        <v/>
      </c>
      <c r="R23" s="265"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5"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6" t="str">
        <f>IFERROR(VLOOKUP(F23,Tb_ProjectKosten[#All],11,0),"")</f>
        <v/>
      </c>
      <c r="U23" s="257"/>
    </row>
    <row r="24" spans="1:21" ht="15" customHeight="1" x14ac:dyDescent="0.25">
      <c r="A24" s="258">
        <v>19</v>
      </c>
      <c r="B24" s="259"/>
      <c r="C24" s="259"/>
      <c r="D24" s="259"/>
      <c r="E24" s="259"/>
      <c r="F24" s="259"/>
      <c r="G24" s="260"/>
      <c r="H24" s="261" t="str">
        <f ca="1">IFERROR(IF(VLOOKUP(F24,Kostentypen!$A$3:$E$20,3,0)=0,"",IF(F24="Arbeidskosten",VLOOKUP(G24,Tb_KostenTypen[],2,0),VLOOKUP(F24,Kostentypen!$A$3:$E$20,3,0))),"")</f>
        <v/>
      </c>
      <c r="I24" s="260"/>
      <c r="J24" s="262"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2"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3"/>
      <c r="M24" s="263"/>
      <c r="N24" s="264"/>
      <c r="O24" s="264"/>
      <c r="P24" s="265" t="str" cm="1">
        <f t="array" aca="1" ref="P24" ca="1">_xlfn.IFNA(_xlfn.IFS(T24="Dit kostentype hoeft u niet op te geven. Hiervoor wordt een forfait berekend.","",AND(J24&lt;&gt;"",OR(H24="Uurtarief",H24="Vast tarief")),J24*L24,AND(N24&gt;0,H24="-"),N24),"")</f>
        <v/>
      </c>
      <c r="Q24" s="265" t="str" cm="1">
        <f t="array" aca="1" ref="Q24" ca="1">_xlfn.IFNA(_xlfn.IFS(T24="Dit kostentype hoeft u niet op te geven. Hiervoor wordt een forfait berekend.","",AND(K24&lt;&gt;"",M24&lt;&gt;"",OR(H24="Uurtarief",H24="Vast tarief")),K24*M24,AND(O24&lt;&gt;"",H24="-"),O24),"")</f>
        <v/>
      </c>
      <c r="R24" s="265"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5"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6" t="str">
        <f>IFERROR(VLOOKUP(F24,Tb_ProjectKosten[#All],11,0),"")</f>
        <v/>
      </c>
      <c r="U24" s="257"/>
    </row>
    <row r="25" spans="1:21" ht="15" customHeight="1" x14ac:dyDescent="0.25">
      <c r="A25" s="258">
        <v>20</v>
      </c>
      <c r="B25" s="259"/>
      <c r="C25" s="259"/>
      <c r="D25" s="259"/>
      <c r="E25" s="259"/>
      <c r="F25" s="259"/>
      <c r="G25" s="260"/>
      <c r="H25" s="261" t="str">
        <f ca="1">IFERROR(IF(VLOOKUP(F25,Kostentypen!$A$3:$E$20,3,0)=0,"",IF(F25="Arbeidskosten",VLOOKUP(G25,Tb_KostenTypen[],2,0),VLOOKUP(F25,Kostentypen!$A$3:$E$20,3,0))),"")</f>
        <v/>
      </c>
      <c r="I25" s="260"/>
      <c r="J25" s="262"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2"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3"/>
      <c r="M25" s="263"/>
      <c r="N25" s="264"/>
      <c r="O25" s="264"/>
      <c r="P25" s="265" t="str" cm="1">
        <f t="array" aca="1" ref="P25" ca="1">_xlfn.IFNA(_xlfn.IFS(T25="Dit kostentype hoeft u niet op te geven. Hiervoor wordt een forfait berekend.","",AND(J25&lt;&gt;"",OR(H25="Uurtarief",H25="Vast tarief")),J25*L25,AND(N25&gt;0,H25="-"),N25),"")</f>
        <v/>
      </c>
      <c r="Q25" s="265" t="str" cm="1">
        <f t="array" aca="1" ref="Q25" ca="1">_xlfn.IFNA(_xlfn.IFS(T25="Dit kostentype hoeft u niet op te geven. Hiervoor wordt een forfait berekend.","",AND(K25&lt;&gt;"",M25&lt;&gt;"",OR(H25="Uurtarief",H25="Vast tarief")),K25*M25,AND(O25&lt;&gt;"",H25="-"),O25),"")</f>
        <v/>
      </c>
      <c r="R25" s="265"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5"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6" t="str">
        <f>IFERROR(VLOOKUP(F25,Tb_ProjectKosten[#All],11,0),"")</f>
        <v/>
      </c>
      <c r="U25" s="257"/>
    </row>
    <row r="26" spans="1:21" ht="15" customHeight="1" x14ac:dyDescent="0.25">
      <c r="A26" s="258">
        <v>21</v>
      </c>
      <c r="B26" s="259"/>
      <c r="C26" s="259"/>
      <c r="D26" s="259"/>
      <c r="E26" s="259"/>
      <c r="F26" s="259"/>
      <c r="G26" s="260"/>
      <c r="H26" s="261" t="str">
        <f ca="1">IFERROR(IF(VLOOKUP(F26,Kostentypen!$A$3:$E$20,3,0)=0,"",IF(F26="Arbeidskosten",VLOOKUP(G26,Tb_KostenTypen[],2,0),VLOOKUP(F26,Kostentypen!$A$3:$E$20,3,0))),"")</f>
        <v/>
      </c>
      <c r="I26" s="260"/>
      <c r="J26" s="262"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2"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3"/>
      <c r="M26" s="263"/>
      <c r="N26" s="264"/>
      <c r="O26" s="264"/>
      <c r="P26" s="265" t="str" cm="1">
        <f t="array" aca="1" ref="P26" ca="1">_xlfn.IFNA(_xlfn.IFS(T26="Dit kostentype hoeft u niet op te geven. Hiervoor wordt een forfait berekend.","",AND(J26&lt;&gt;"",OR(H26="Uurtarief",H26="Vast tarief")),J26*L26,AND(N26&gt;0,H26="-"),N26),"")</f>
        <v/>
      </c>
      <c r="Q26" s="265" t="str" cm="1">
        <f t="array" aca="1" ref="Q26" ca="1">_xlfn.IFNA(_xlfn.IFS(T26="Dit kostentype hoeft u niet op te geven. Hiervoor wordt een forfait berekend.","",AND(K26&lt;&gt;"",M26&lt;&gt;"",OR(H26="Uurtarief",H26="Vast tarief")),K26*M26,AND(O26&lt;&gt;"",H26="-"),O26),"")</f>
        <v/>
      </c>
      <c r="R26" s="265"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5"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6" t="str">
        <f>IFERROR(VLOOKUP(F26,Tb_ProjectKosten[#All],11,0),"")</f>
        <v/>
      </c>
      <c r="U26" s="257"/>
    </row>
    <row r="27" spans="1:21" ht="15" customHeight="1" x14ac:dyDescent="0.25">
      <c r="A27" s="258">
        <v>22</v>
      </c>
      <c r="B27" s="259"/>
      <c r="C27" s="259"/>
      <c r="D27" s="259"/>
      <c r="E27" s="259"/>
      <c r="F27" s="259"/>
      <c r="G27" s="260"/>
      <c r="H27" s="261" t="str">
        <f ca="1">IFERROR(IF(VLOOKUP(F27,Kostentypen!$A$3:$E$20,3,0)=0,"",IF(F27="Arbeidskosten",VLOOKUP(G27,Tb_KostenTypen[],2,0),VLOOKUP(F27,Kostentypen!$A$3:$E$20,3,0))),"")</f>
        <v/>
      </c>
      <c r="I27" s="260"/>
      <c r="J27" s="262"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2"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3"/>
      <c r="M27" s="263"/>
      <c r="N27" s="264"/>
      <c r="O27" s="264"/>
      <c r="P27" s="265" t="str" cm="1">
        <f t="array" aca="1" ref="P27" ca="1">_xlfn.IFNA(_xlfn.IFS(T27="Dit kostentype hoeft u niet op te geven. Hiervoor wordt een forfait berekend.","",AND(J27&lt;&gt;"",OR(H27="Uurtarief",H27="Vast tarief")),J27*L27,AND(N27&gt;0,H27="-"),N27),"")</f>
        <v/>
      </c>
      <c r="Q27" s="265" t="str" cm="1">
        <f t="array" aca="1" ref="Q27" ca="1">_xlfn.IFNA(_xlfn.IFS(T27="Dit kostentype hoeft u niet op te geven. Hiervoor wordt een forfait berekend.","",AND(K27&lt;&gt;"",M27&lt;&gt;"",OR(H27="Uurtarief",H27="Vast tarief")),K27*M27,AND(O27&lt;&gt;"",H27="-"),O27),"")</f>
        <v/>
      </c>
      <c r="R27" s="265"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5"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6" t="str">
        <f>IFERROR(VLOOKUP(F27,Tb_ProjectKosten[#All],11,0),"")</f>
        <v/>
      </c>
      <c r="U27" s="257"/>
    </row>
    <row r="28" spans="1:21" ht="15" customHeight="1" x14ac:dyDescent="0.25">
      <c r="A28" s="258">
        <v>23</v>
      </c>
      <c r="B28" s="259"/>
      <c r="C28" s="259"/>
      <c r="D28" s="259"/>
      <c r="E28" s="259"/>
      <c r="F28" s="259"/>
      <c r="G28" s="260"/>
      <c r="H28" s="261" t="str">
        <f ca="1">IFERROR(IF(VLOOKUP(F28,Kostentypen!$A$3:$E$20,3,0)=0,"",IF(F28="Arbeidskosten",VLOOKUP(G28,Tb_KostenTypen[],2,0),VLOOKUP(F28,Kostentypen!$A$3:$E$20,3,0))),"")</f>
        <v/>
      </c>
      <c r="I28" s="260"/>
      <c r="J28" s="262"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2"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3"/>
      <c r="M28" s="263"/>
      <c r="N28" s="264"/>
      <c r="O28" s="264"/>
      <c r="P28" s="265" t="str" cm="1">
        <f t="array" aca="1" ref="P28" ca="1">_xlfn.IFNA(_xlfn.IFS(T28="Dit kostentype hoeft u niet op te geven. Hiervoor wordt een forfait berekend.","",AND(J28&lt;&gt;"",OR(H28="Uurtarief",H28="Vast tarief")),J28*L28,AND(N28&gt;0,H28="-"),N28),"")</f>
        <v/>
      </c>
      <c r="Q28" s="265" t="str" cm="1">
        <f t="array" aca="1" ref="Q28" ca="1">_xlfn.IFNA(_xlfn.IFS(T28="Dit kostentype hoeft u niet op te geven. Hiervoor wordt een forfait berekend.","",AND(K28&lt;&gt;"",M28&lt;&gt;"",OR(H28="Uurtarief",H28="Vast tarief")),K28*M28,AND(O28&lt;&gt;"",H28="-"),O28),"")</f>
        <v/>
      </c>
      <c r="R28" s="265"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5"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6" t="str">
        <f>IFERROR(VLOOKUP(F28,Tb_ProjectKosten[#All],11,0),"")</f>
        <v/>
      </c>
      <c r="U28" s="257"/>
    </row>
    <row r="29" spans="1:21" ht="15" customHeight="1" x14ac:dyDescent="0.25">
      <c r="A29" s="258">
        <v>24</v>
      </c>
      <c r="B29" s="259"/>
      <c r="C29" s="259"/>
      <c r="D29" s="259"/>
      <c r="E29" s="259"/>
      <c r="F29" s="259"/>
      <c r="G29" s="260"/>
      <c r="H29" s="261" t="str">
        <f ca="1">IFERROR(IF(VLOOKUP(F29,Kostentypen!$A$3:$E$20,3,0)=0,"",IF(F29="Arbeidskosten",VLOOKUP(G29,Tb_KostenTypen[],2,0),VLOOKUP(F29,Kostentypen!$A$3:$E$20,3,0))),"")</f>
        <v/>
      </c>
      <c r="I29" s="260"/>
      <c r="J29" s="262"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2"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3"/>
      <c r="M29" s="263"/>
      <c r="N29" s="264"/>
      <c r="O29" s="264"/>
      <c r="P29" s="265" t="str" cm="1">
        <f t="array" aca="1" ref="P29" ca="1">_xlfn.IFNA(_xlfn.IFS(T29="Dit kostentype hoeft u niet op te geven. Hiervoor wordt een forfait berekend.","",AND(J29&lt;&gt;"",OR(H29="Uurtarief",H29="Vast tarief")),J29*L29,AND(N29&gt;0,H29="-"),N29),"")</f>
        <v/>
      </c>
      <c r="Q29" s="265" t="str" cm="1">
        <f t="array" aca="1" ref="Q29" ca="1">_xlfn.IFNA(_xlfn.IFS(T29="Dit kostentype hoeft u niet op te geven. Hiervoor wordt een forfait berekend.","",AND(K29&lt;&gt;"",M29&lt;&gt;"",OR(H29="Uurtarief",H29="Vast tarief")),K29*M29,AND(O29&lt;&gt;"",H29="-"),O29),"")</f>
        <v/>
      </c>
      <c r="R29" s="265"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5"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6" t="str">
        <f>IFERROR(VLOOKUP(F29,Tb_ProjectKosten[#All],11,0),"")</f>
        <v/>
      </c>
      <c r="U29" s="257"/>
    </row>
    <row r="30" spans="1:21" ht="15" customHeight="1" x14ac:dyDescent="0.25">
      <c r="A30" s="258">
        <v>25</v>
      </c>
      <c r="B30" s="259"/>
      <c r="C30" s="259"/>
      <c r="D30" s="259"/>
      <c r="E30" s="259"/>
      <c r="F30" s="259"/>
      <c r="G30" s="260"/>
      <c r="H30" s="261" t="str">
        <f ca="1">IFERROR(IF(VLOOKUP(F30,Kostentypen!$A$3:$E$20,3,0)=0,"",IF(F30="Arbeidskosten",VLOOKUP(G30,Tb_KostenTypen[],2,0),VLOOKUP(F30,Kostentypen!$A$3:$E$20,3,0))),"")</f>
        <v/>
      </c>
      <c r="I30" s="260"/>
      <c r="J30" s="262"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2"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3"/>
      <c r="M30" s="263"/>
      <c r="N30" s="264"/>
      <c r="O30" s="264"/>
      <c r="P30" s="265" t="str" cm="1">
        <f t="array" aca="1" ref="P30" ca="1">_xlfn.IFNA(_xlfn.IFS(T30="Dit kostentype hoeft u niet op te geven. Hiervoor wordt een forfait berekend.","",AND(J30&lt;&gt;"",OR(H30="Uurtarief",H30="Vast tarief")),J30*L30,AND(N30&gt;0,H30="-"),N30),"")</f>
        <v/>
      </c>
      <c r="Q30" s="265" t="str" cm="1">
        <f t="array" aca="1" ref="Q30" ca="1">_xlfn.IFNA(_xlfn.IFS(T30="Dit kostentype hoeft u niet op te geven. Hiervoor wordt een forfait berekend.","",AND(K30&lt;&gt;"",M30&lt;&gt;"",OR(H30="Uurtarief",H30="Vast tarief")),K30*M30,AND(O30&lt;&gt;"",H30="-"),O30),"")</f>
        <v/>
      </c>
      <c r="R30" s="265"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5"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6" t="str">
        <f>IFERROR(VLOOKUP(F30,Tb_ProjectKosten[#All],11,0),"")</f>
        <v/>
      </c>
      <c r="U30" s="257"/>
    </row>
    <row r="31" spans="1:21" ht="15" customHeight="1" x14ac:dyDescent="0.25">
      <c r="A31" s="258">
        <v>26</v>
      </c>
      <c r="B31" s="259"/>
      <c r="C31" s="259"/>
      <c r="D31" s="259"/>
      <c r="E31" s="259"/>
      <c r="F31" s="259"/>
      <c r="G31" s="260"/>
      <c r="H31" s="261" t="str">
        <f ca="1">IFERROR(IF(VLOOKUP(F31,Kostentypen!$A$3:$E$20,3,0)=0,"",IF(F31="Arbeidskosten",VLOOKUP(G31,Tb_KostenTypen[],2,0),VLOOKUP(F31,Kostentypen!$A$3:$E$20,3,0))),"")</f>
        <v/>
      </c>
      <c r="I31" s="260"/>
      <c r="J31" s="262"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2"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3"/>
      <c r="M31" s="263"/>
      <c r="N31" s="264"/>
      <c r="O31" s="264"/>
      <c r="P31" s="265" t="str" cm="1">
        <f t="array" aca="1" ref="P31" ca="1">_xlfn.IFNA(_xlfn.IFS(T31="Dit kostentype hoeft u niet op te geven. Hiervoor wordt een forfait berekend.","",AND(J31&lt;&gt;"",OR(H31="Uurtarief",H31="Vast tarief")),J31*L31,AND(N31&gt;0,H31="-"),N31),"")</f>
        <v/>
      </c>
      <c r="Q31" s="265" t="str" cm="1">
        <f t="array" aca="1" ref="Q31" ca="1">_xlfn.IFNA(_xlfn.IFS(T31="Dit kostentype hoeft u niet op te geven. Hiervoor wordt een forfait berekend.","",AND(K31&lt;&gt;"",M31&lt;&gt;"",OR(H31="Uurtarief",H31="Vast tarief")),K31*M31,AND(O31&lt;&gt;"",H31="-"),O31),"")</f>
        <v/>
      </c>
      <c r="R31" s="265"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5"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6" t="str">
        <f>IFERROR(VLOOKUP(F31,Tb_ProjectKosten[#All],11,0),"")</f>
        <v/>
      </c>
      <c r="U31" s="257"/>
    </row>
    <row r="32" spans="1:21" ht="15" customHeight="1" x14ac:dyDescent="0.25">
      <c r="A32" s="258">
        <v>27</v>
      </c>
      <c r="B32" s="259"/>
      <c r="C32" s="259"/>
      <c r="D32" s="259"/>
      <c r="E32" s="259"/>
      <c r="F32" s="259"/>
      <c r="G32" s="260"/>
      <c r="H32" s="261" t="str">
        <f ca="1">IFERROR(IF(VLOOKUP(F32,Kostentypen!$A$3:$E$20,3,0)=0,"",IF(F32="Arbeidskosten",VLOOKUP(G32,Tb_KostenTypen[],2,0),VLOOKUP(F32,Kostentypen!$A$3:$E$20,3,0))),"")</f>
        <v/>
      </c>
      <c r="I32" s="260"/>
      <c r="J32" s="262"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2"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3"/>
      <c r="M32" s="263"/>
      <c r="N32" s="264"/>
      <c r="O32" s="264"/>
      <c r="P32" s="265" t="str" cm="1">
        <f t="array" aca="1" ref="P32" ca="1">_xlfn.IFNA(_xlfn.IFS(T32="Dit kostentype hoeft u niet op te geven. Hiervoor wordt een forfait berekend.","",AND(J32&lt;&gt;"",OR(H32="Uurtarief",H32="Vast tarief")),J32*L32,AND(N32&gt;0,H32="-"),N32),"")</f>
        <v/>
      </c>
      <c r="Q32" s="265" t="str" cm="1">
        <f t="array" aca="1" ref="Q32" ca="1">_xlfn.IFNA(_xlfn.IFS(T32="Dit kostentype hoeft u niet op te geven. Hiervoor wordt een forfait berekend.","",AND(K32&lt;&gt;"",M32&lt;&gt;"",OR(H32="Uurtarief",H32="Vast tarief")),K32*M32,AND(O32&lt;&gt;"",H32="-"),O32),"")</f>
        <v/>
      </c>
      <c r="R32" s="265"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5"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6" t="str">
        <f>IFERROR(VLOOKUP(F32,Tb_ProjectKosten[#All],11,0),"")</f>
        <v/>
      </c>
      <c r="U32" s="257"/>
    </row>
    <row r="33" spans="1:21" ht="15" customHeight="1" x14ac:dyDescent="0.25">
      <c r="A33" s="258">
        <v>28</v>
      </c>
      <c r="B33" s="259"/>
      <c r="C33" s="259"/>
      <c r="D33" s="259"/>
      <c r="E33" s="259"/>
      <c r="F33" s="259"/>
      <c r="G33" s="260"/>
      <c r="H33" s="261" t="str">
        <f ca="1">IFERROR(IF(VLOOKUP(F33,Kostentypen!$A$3:$E$20,3,0)=0,"",IF(F33="Arbeidskosten",VLOOKUP(G33,Tb_KostenTypen[],2,0),VLOOKUP(F33,Kostentypen!$A$3:$E$20,3,0))),"")</f>
        <v/>
      </c>
      <c r="I33" s="260"/>
      <c r="J33" s="262"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2"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3"/>
      <c r="M33" s="263"/>
      <c r="N33" s="264"/>
      <c r="O33" s="264"/>
      <c r="P33" s="265" t="str" cm="1">
        <f t="array" aca="1" ref="P33" ca="1">_xlfn.IFNA(_xlfn.IFS(T33="Dit kostentype hoeft u niet op te geven. Hiervoor wordt een forfait berekend.","",AND(J33&lt;&gt;"",OR(H33="Uurtarief",H33="Vast tarief")),J33*L33,AND(N33&gt;0,H33="-"),N33),"")</f>
        <v/>
      </c>
      <c r="Q33" s="265" t="str" cm="1">
        <f t="array" aca="1" ref="Q33" ca="1">_xlfn.IFNA(_xlfn.IFS(T33="Dit kostentype hoeft u niet op te geven. Hiervoor wordt een forfait berekend.","",AND(K33&lt;&gt;"",M33&lt;&gt;"",OR(H33="Uurtarief",H33="Vast tarief")),K33*M33,AND(O33&lt;&gt;"",H33="-"),O33),"")</f>
        <v/>
      </c>
      <c r="R33" s="265"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5"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6" t="str">
        <f>IFERROR(VLOOKUP(F33,Tb_ProjectKosten[#All],11,0),"")</f>
        <v/>
      </c>
      <c r="U33" s="257"/>
    </row>
    <row r="34" spans="1:21" ht="15" customHeight="1" x14ac:dyDescent="0.25">
      <c r="A34" s="258">
        <v>29</v>
      </c>
      <c r="B34" s="259"/>
      <c r="C34" s="259"/>
      <c r="D34" s="259"/>
      <c r="E34" s="259"/>
      <c r="F34" s="259"/>
      <c r="G34" s="260"/>
      <c r="H34" s="261" t="str">
        <f ca="1">IFERROR(IF(VLOOKUP(F34,Kostentypen!$A$3:$E$20,3,0)=0,"",IF(F34="Arbeidskosten",VLOOKUP(G34,Tb_KostenTypen[],2,0),VLOOKUP(F34,Kostentypen!$A$3:$E$20,3,0))),"")</f>
        <v/>
      </c>
      <c r="I34" s="260"/>
      <c r="J34" s="262"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2"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3"/>
      <c r="M34" s="263"/>
      <c r="N34" s="264"/>
      <c r="O34" s="264"/>
      <c r="P34" s="265" t="str" cm="1">
        <f t="array" aca="1" ref="P34" ca="1">_xlfn.IFNA(_xlfn.IFS(T34="Dit kostentype hoeft u niet op te geven. Hiervoor wordt een forfait berekend.","",AND(J34&lt;&gt;"",OR(H34="Uurtarief",H34="Vast tarief")),J34*L34,AND(N34&gt;0,H34="-"),N34),"")</f>
        <v/>
      </c>
      <c r="Q34" s="265" t="str" cm="1">
        <f t="array" aca="1" ref="Q34" ca="1">_xlfn.IFNA(_xlfn.IFS(T34="Dit kostentype hoeft u niet op te geven. Hiervoor wordt een forfait berekend.","",AND(K34&lt;&gt;"",M34&lt;&gt;"",OR(H34="Uurtarief",H34="Vast tarief")),K34*M34,AND(O34&lt;&gt;"",H34="-"),O34),"")</f>
        <v/>
      </c>
      <c r="R34" s="265"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5"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6" t="str">
        <f>IFERROR(VLOOKUP(F34,Tb_ProjectKosten[#All],11,0),"")</f>
        <v/>
      </c>
      <c r="U34" s="257"/>
    </row>
    <row r="35" spans="1:21" ht="15" customHeight="1" x14ac:dyDescent="0.25">
      <c r="A35" s="258">
        <v>30</v>
      </c>
      <c r="B35" s="259"/>
      <c r="C35" s="259"/>
      <c r="D35" s="259"/>
      <c r="E35" s="259"/>
      <c r="F35" s="259"/>
      <c r="G35" s="260"/>
      <c r="H35" s="261" t="str">
        <f ca="1">IFERROR(IF(VLOOKUP(F35,Kostentypen!$A$3:$E$20,3,0)=0,"",IF(F35="Arbeidskosten",VLOOKUP(G35,Tb_KostenTypen[],2,0),VLOOKUP(F35,Kostentypen!$A$3:$E$20,3,0))),"")</f>
        <v/>
      </c>
      <c r="I35" s="260"/>
      <c r="J35" s="262"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2"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3"/>
      <c r="M35" s="263"/>
      <c r="N35" s="264"/>
      <c r="O35" s="264"/>
      <c r="P35" s="265" t="str" cm="1">
        <f t="array" aca="1" ref="P35" ca="1">_xlfn.IFNA(_xlfn.IFS(T35="Dit kostentype hoeft u niet op te geven. Hiervoor wordt een forfait berekend.","",AND(J35&lt;&gt;"",OR(H35="Uurtarief",H35="Vast tarief")),J35*L35,AND(N35&gt;0,H35="-"),N35),"")</f>
        <v/>
      </c>
      <c r="Q35" s="265" t="str" cm="1">
        <f t="array" aca="1" ref="Q35" ca="1">_xlfn.IFNA(_xlfn.IFS(T35="Dit kostentype hoeft u niet op te geven. Hiervoor wordt een forfait berekend.","",AND(K35&lt;&gt;"",M35&lt;&gt;"",OR(H35="Uurtarief",H35="Vast tarief")),K35*M35,AND(O35&lt;&gt;"",H35="-"),O35),"")</f>
        <v/>
      </c>
      <c r="R35" s="265"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5"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6" t="str">
        <f>IFERROR(VLOOKUP(F35,Tb_ProjectKosten[#All],11,0),"")</f>
        <v/>
      </c>
      <c r="U35" s="257"/>
    </row>
    <row r="36" spans="1:21" ht="15" customHeight="1" x14ac:dyDescent="0.25">
      <c r="A36" s="258">
        <v>31</v>
      </c>
      <c r="B36" s="259"/>
      <c r="C36" s="259"/>
      <c r="D36" s="259"/>
      <c r="E36" s="259"/>
      <c r="F36" s="259"/>
      <c r="G36" s="260"/>
      <c r="H36" s="261" t="str">
        <f ca="1">IFERROR(IF(VLOOKUP(F36,Kostentypen!$A$3:$E$20,3,0)=0,"",IF(F36="Arbeidskosten",VLOOKUP(G36,Tb_KostenTypen[],2,0),VLOOKUP(F36,Kostentypen!$A$3:$E$20,3,0))),"")</f>
        <v/>
      </c>
      <c r="I36" s="260"/>
      <c r="J36" s="262"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2"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3"/>
      <c r="M36" s="263"/>
      <c r="N36" s="264"/>
      <c r="O36" s="264"/>
      <c r="P36" s="265" t="str" cm="1">
        <f t="array" aca="1" ref="P36" ca="1">_xlfn.IFNA(_xlfn.IFS(T36="Dit kostentype hoeft u niet op te geven. Hiervoor wordt een forfait berekend.","",AND(J36&lt;&gt;"",OR(H36="Uurtarief",H36="Vast tarief")),J36*L36,AND(N36&gt;0,H36="-"),N36),"")</f>
        <v/>
      </c>
      <c r="Q36" s="265" t="str" cm="1">
        <f t="array" aca="1" ref="Q36" ca="1">_xlfn.IFNA(_xlfn.IFS(T36="Dit kostentype hoeft u niet op te geven. Hiervoor wordt een forfait berekend.","",AND(K36&lt;&gt;"",M36&lt;&gt;"",OR(H36="Uurtarief",H36="Vast tarief")),K36*M36,AND(O36&lt;&gt;"",H36="-"),O36),"")</f>
        <v/>
      </c>
      <c r="R36" s="265"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5"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6" t="str">
        <f>IFERROR(VLOOKUP(F36,Tb_ProjectKosten[#All],11,0),"")</f>
        <v/>
      </c>
      <c r="U36" s="257"/>
    </row>
    <row r="37" spans="1:21" ht="15" customHeight="1" x14ac:dyDescent="0.25">
      <c r="A37" s="258">
        <v>32</v>
      </c>
      <c r="B37" s="259"/>
      <c r="C37" s="259"/>
      <c r="D37" s="259"/>
      <c r="E37" s="259"/>
      <c r="F37" s="259"/>
      <c r="G37" s="260"/>
      <c r="H37" s="261" t="str">
        <f ca="1">IFERROR(IF(VLOOKUP(F37,Kostentypen!$A$3:$E$20,3,0)=0,"",IF(F37="Arbeidskosten",VLOOKUP(G37,Tb_KostenTypen[],2,0),VLOOKUP(F37,Kostentypen!$A$3:$E$20,3,0))),"")</f>
        <v/>
      </c>
      <c r="I37" s="260"/>
      <c r="J37" s="262"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2"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3"/>
      <c r="M37" s="263"/>
      <c r="N37" s="264"/>
      <c r="O37" s="264"/>
      <c r="P37" s="265" t="str" cm="1">
        <f t="array" aca="1" ref="P37" ca="1">_xlfn.IFNA(_xlfn.IFS(T37="Dit kostentype hoeft u niet op te geven. Hiervoor wordt een forfait berekend.","",AND(J37&lt;&gt;"",OR(H37="Uurtarief",H37="Vast tarief")),J37*L37,AND(N37&gt;0,H37="-"),N37),"")</f>
        <v/>
      </c>
      <c r="Q37" s="265" t="str" cm="1">
        <f t="array" aca="1" ref="Q37" ca="1">_xlfn.IFNA(_xlfn.IFS(T37="Dit kostentype hoeft u niet op te geven. Hiervoor wordt een forfait berekend.","",AND(K37&lt;&gt;"",M37&lt;&gt;"",OR(H37="Uurtarief",H37="Vast tarief")),K37*M37,AND(O37&lt;&gt;"",H37="-"),O37),"")</f>
        <v/>
      </c>
      <c r="R37" s="265"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5"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6" t="str">
        <f>IFERROR(VLOOKUP(F37,Tb_ProjectKosten[#All],11,0),"")</f>
        <v/>
      </c>
      <c r="U37" s="257"/>
    </row>
    <row r="38" spans="1:21" ht="15" customHeight="1" x14ac:dyDescent="0.25">
      <c r="A38" s="258">
        <v>33</v>
      </c>
      <c r="B38" s="259"/>
      <c r="C38" s="259"/>
      <c r="D38" s="259"/>
      <c r="E38" s="259"/>
      <c r="F38" s="259"/>
      <c r="G38" s="260"/>
      <c r="H38" s="261" t="str">
        <f ca="1">IFERROR(IF(VLOOKUP(F38,Kostentypen!$A$3:$E$20,3,0)=0,"",IF(F38="Arbeidskosten",VLOOKUP(G38,Tb_KostenTypen[],2,0),VLOOKUP(F38,Kostentypen!$A$3:$E$20,3,0))),"")</f>
        <v/>
      </c>
      <c r="I38" s="260"/>
      <c r="J38" s="262"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2"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3"/>
      <c r="M38" s="263"/>
      <c r="N38" s="264"/>
      <c r="O38" s="264"/>
      <c r="P38" s="265" t="str" cm="1">
        <f t="array" aca="1" ref="P38" ca="1">_xlfn.IFNA(_xlfn.IFS(T38="Dit kostentype hoeft u niet op te geven. Hiervoor wordt een forfait berekend.","",AND(J38&lt;&gt;"",OR(H38="Uurtarief",H38="Vast tarief")),J38*L38,AND(N38&gt;0,H38="-"),N38),"")</f>
        <v/>
      </c>
      <c r="Q38" s="265" t="str" cm="1">
        <f t="array" aca="1" ref="Q38" ca="1">_xlfn.IFNA(_xlfn.IFS(T38="Dit kostentype hoeft u niet op te geven. Hiervoor wordt een forfait berekend.","",AND(K38&lt;&gt;"",M38&lt;&gt;"",OR(H38="Uurtarief",H38="Vast tarief")),K38*M38,AND(O38&lt;&gt;"",H38="-"),O38),"")</f>
        <v/>
      </c>
      <c r="R38" s="265"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5"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6" t="str">
        <f>IFERROR(VLOOKUP(F38,Tb_ProjectKosten[#All],11,0),"")</f>
        <v/>
      </c>
      <c r="U38" s="257"/>
    </row>
    <row r="39" spans="1:21" ht="15" customHeight="1" x14ac:dyDescent="0.25">
      <c r="A39" s="258">
        <v>34</v>
      </c>
      <c r="B39" s="259"/>
      <c r="C39" s="259"/>
      <c r="D39" s="259"/>
      <c r="E39" s="259"/>
      <c r="F39" s="259"/>
      <c r="G39" s="260"/>
      <c r="H39" s="261" t="str">
        <f ca="1">IFERROR(IF(VLOOKUP(F39,Kostentypen!$A$3:$E$20,3,0)=0,"",IF(F39="Arbeidskosten",VLOOKUP(G39,Tb_KostenTypen[],2,0),VLOOKUP(F39,Kostentypen!$A$3:$E$20,3,0))),"")</f>
        <v/>
      </c>
      <c r="I39" s="260"/>
      <c r="J39" s="262"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2"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3"/>
      <c r="M39" s="263"/>
      <c r="N39" s="264"/>
      <c r="O39" s="264"/>
      <c r="P39" s="265" t="str" cm="1">
        <f t="array" aca="1" ref="P39" ca="1">_xlfn.IFNA(_xlfn.IFS(T39="Dit kostentype hoeft u niet op te geven. Hiervoor wordt een forfait berekend.","",AND(J39&lt;&gt;"",OR(H39="Uurtarief",H39="Vast tarief")),J39*L39,AND(N39&gt;0,H39="-"),N39),"")</f>
        <v/>
      </c>
      <c r="Q39" s="265" t="str" cm="1">
        <f t="array" aca="1" ref="Q39" ca="1">_xlfn.IFNA(_xlfn.IFS(T39="Dit kostentype hoeft u niet op te geven. Hiervoor wordt een forfait berekend.","",AND(K39&lt;&gt;"",M39&lt;&gt;"",OR(H39="Uurtarief",H39="Vast tarief")),K39*M39,AND(O39&lt;&gt;"",H39="-"),O39),"")</f>
        <v/>
      </c>
      <c r="R39" s="265"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5"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6" t="str">
        <f>IFERROR(VLOOKUP(F39,Tb_ProjectKosten[#All],11,0),"")</f>
        <v/>
      </c>
      <c r="U39" s="257"/>
    </row>
    <row r="40" spans="1:21" ht="15" customHeight="1" x14ac:dyDescent="0.25">
      <c r="A40" s="258">
        <v>35</v>
      </c>
      <c r="B40" s="259"/>
      <c r="C40" s="259"/>
      <c r="D40" s="259"/>
      <c r="E40" s="259"/>
      <c r="F40" s="259"/>
      <c r="G40" s="260"/>
      <c r="H40" s="261" t="str">
        <f ca="1">IFERROR(IF(VLOOKUP(F40,Kostentypen!$A$3:$E$20,3,0)=0,"",IF(F40="Arbeidskosten",VLOOKUP(G40,Tb_KostenTypen[],2,0),VLOOKUP(F40,Kostentypen!$A$3:$E$20,3,0))),"")</f>
        <v/>
      </c>
      <c r="I40" s="260"/>
      <c r="J40" s="262"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2"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3"/>
      <c r="M40" s="263"/>
      <c r="N40" s="264"/>
      <c r="O40" s="264"/>
      <c r="P40" s="265" t="str" cm="1">
        <f t="array" aca="1" ref="P40" ca="1">_xlfn.IFNA(_xlfn.IFS(T40="Dit kostentype hoeft u niet op te geven. Hiervoor wordt een forfait berekend.","",AND(J40&lt;&gt;"",OR(H40="Uurtarief",H40="Vast tarief")),J40*L40,AND(N40&gt;0,H40="-"),N40),"")</f>
        <v/>
      </c>
      <c r="Q40" s="265" t="str" cm="1">
        <f t="array" aca="1" ref="Q40" ca="1">_xlfn.IFNA(_xlfn.IFS(T40="Dit kostentype hoeft u niet op te geven. Hiervoor wordt een forfait berekend.","",AND(K40&lt;&gt;"",M40&lt;&gt;"",OR(H40="Uurtarief",H40="Vast tarief")),K40*M40,AND(O40&lt;&gt;"",H40="-"),O40),"")</f>
        <v/>
      </c>
      <c r="R40" s="265"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5"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6" t="str">
        <f>IFERROR(VLOOKUP(F40,Tb_ProjectKosten[#All],11,0),"")</f>
        <v/>
      </c>
      <c r="U40" s="257"/>
    </row>
    <row r="41" spans="1:21" ht="15" customHeight="1" x14ac:dyDescent="0.25">
      <c r="A41" s="258">
        <v>36</v>
      </c>
      <c r="B41" s="259"/>
      <c r="C41" s="259"/>
      <c r="D41" s="259"/>
      <c r="E41" s="259"/>
      <c r="F41" s="259"/>
      <c r="G41" s="260"/>
      <c r="H41" s="261" t="str">
        <f ca="1">IFERROR(IF(VLOOKUP(F41,Kostentypen!$A$3:$E$20,3,0)=0,"",IF(F41="Arbeidskosten",VLOOKUP(G41,Tb_KostenTypen[],2,0),VLOOKUP(F41,Kostentypen!$A$3:$E$20,3,0))),"")</f>
        <v/>
      </c>
      <c r="I41" s="260"/>
      <c r="J41" s="262"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2"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3"/>
      <c r="M41" s="263"/>
      <c r="N41" s="264"/>
      <c r="O41" s="264"/>
      <c r="P41" s="265" t="str" cm="1">
        <f t="array" aca="1" ref="P41" ca="1">_xlfn.IFNA(_xlfn.IFS(T41="Dit kostentype hoeft u niet op te geven. Hiervoor wordt een forfait berekend.","",AND(J41&lt;&gt;"",OR(H41="Uurtarief",H41="Vast tarief")),J41*L41,AND(N41&gt;0,H41="-"),N41),"")</f>
        <v/>
      </c>
      <c r="Q41" s="265" t="str" cm="1">
        <f t="array" aca="1" ref="Q41" ca="1">_xlfn.IFNA(_xlfn.IFS(T41="Dit kostentype hoeft u niet op te geven. Hiervoor wordt een forfait berekend.","",AND(K41&lt;&gt;"",M41&lt;&gt;"",OR(H41="Uurtarief",H41="Vast tarief")),K41*M41,AND(O41&lt;&gt;"",H41="-"),O41),"")</f>
        <v/>
      </c>
      <c r="R41" s="265"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5"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6" t="str">
        <f>IFERROR(VLOOKUP(F41,Tb_ProjectKosten[#All],11,0),"")</f>
        <v/>
      </c>
      <c r="U41" s="257"/>
    </row>
    <row r="42" spans="1:21" ht="15" customHeight="1" x14ac:dyDescent="0.25">
      <c r="A42" s="258">
        <v>37</v>
      </c>
      <c r="B42" s="259"/>
      <c r="C42" s="259"/>
      <c r="D42" s="259"/>
      <c r="E42" s="259"/>
      <c r="F42" s="259"/>
      <c r="G42" s="260"/>
      <c r="H42" s="261" t="str">
        <f ca="1">IFERROR(IF(VLOOKUP(F42,Kostentypen!$A$3:$E$20,3,0)=0,"",IF(F42="Arbeidskosten",VLOOKUP(G42,Tb_KostenTypen[],2,0),VLOOKUP(F42,Kostentypen!$A$3:$E$20,3,0))),"")</f>
        <v/>
      </c>
      <c r="I42" s="260"/>
      <c r="J42" s="262"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2"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3"/>
      <c r="M42" s="263"/>
      <c r="N42" s="264"/>
      <c r="O42" s="264"/>
      <c r="P42" s="265" t="str" cm="1">
        <f t="array" aca="1" ref="P42" ca="1">_xlfn.IFNA(_xlfn.IFS(T42="Dit kostentype hoeft u niet op te geven. Hiervoor wordt een forfait berekend.","",AND(J42&lt;&gt;"",OR(H42="Uurtarief",H42="Vast tarief")),J42*L42,AND(N42&gt;0,H42="-"),N42),"")</f>
        <v/>
      </c>
      <c r="Q42" s="265" t="str" cm="1">
        <f t="array" aca="1" ref="Q42" ca="1">_xlfn.IFNA(_xlfn.IFS(T42="Dit kostentype hoeft u niet op te geven. Hiervoor wordt een forfait berekend.","",AND(K42&lt;&gt;"",M42&lt;&gt;"",OR(H42="Uurtarief",H42="Vast tarief")),K42*M42,AND(O42&lt;&gt;"",H42="-"),O42),"")</f>
        <v/>
      </c>
      <c r="R42" s="265"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5"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6" t="str">
        <f>IFERROR(VLOOKUP(F42,Tb_ProjectKosten[#All],11,0),"")</f>
        <v/>
      </c>
      <c r="U42" s="257"/>
    </row>
    <row r="43" spans="1:21" ht="15" customHeight="1" x14ac:dyDescent="0.25">
      <c r="A43" s="258">
        <v>38</v>
      </c>
      <c r="B43" s="259"/>
      <c r="C43" s="259"/>
      <c r="D43" s="259"/>
      <c r="E43" s="259"/>
      <c r="F43" s="259"/>
      <c r="G43" s="260"/>
      <c r="H43" s="261" t="str">
        <f ca="1">IFERROR(IF(VLOOKUP(F43,Kostentypen!$A$3:$E$20,3,0)=0,"",IF(F43="Arbeidskosten",VLOOKUP(G43,Tb_KostenTypen[],2,0),VLOOKUP(F43,Kostentypen!$A$3:$E$20,3,0))),"")</f>
        <v/>
      </c>
      <c r="I43" s="260"/>
      <c r="J43" s="262"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2"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3"/>
      <c r="M43" s="263"/>
      <c r="N43" s="264"/>
      <c r="O43" s="264"/>
      <c r="P43" s="265" t="str" cm="1">
        <f t="array" aca="1" ref="P43" ca="1">_xlfn.IFNA(_xlfn.IFS(T43="Dit kostentype hoeft u niet op te geven. Hiervoor wordt een forfait berekend.","",AND(J43&lt;&gt;"",OR(H43="Uurtarief",H43="Vast tarief")),J43*L43,AND(N43&gt;0,H43="-"),N43),"")</f>
        <v/>
      </c>
      <c r="Q43" s="265" t="str" cm="1">
        <f t="array" aca="1" ref="Q43" ca="1">_xlfn.IFNA(_xlfn.IFS(T43="Dit kostentype hoeft u niet op te geven. Hiervoor wordt een forfait berekend.","",AND(K43&lt;&gt;"",M43&lt;&gt;"",OR(H43="Uurtarief",H43="Vast tarief")),K43*M43,AND(O43&lt;&gt;"",H43="-"),O43),"")</f>
        <v/>
      </c>
      <c r="R43" s="265"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5"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6" t="str">
        <f>IFERROR(VLOOKUP(F43,Tb_ProjectKosten[#All],11,0),"")</f>
        <v/>
      </c>
      <c r="U43" s="257"/>
    </row>
    <row r="44" spans="1:21" ht="15" customHeight="1" x14ac:dyDescent="0.25">
      <c r="A44" s="258">
        <v>39</v>
      </c>
      <c r="B44" s="259"/>
      <c r="C44" s="259"/>
      <c r="D44" s="259"/>
      <c r="E44" s="259"/>
      <c r="F44" s="259"/>
      <c r="G44" s="260"/>
      <c r="H44" s="261" t="str">
        <f ca="1">IFERROR(IF(VLOOKUP(F44,Kostentypen!$A$3:$E$20,3,0)=0,"",IF(F44="Arbeidskosten",VLOOKUP(G44,Tb_KostenTypen[],2,0),VLOOKUP(F44,Kostentypen!$A$3:$E$20,3,0))),"")</f>
        <v/>
      </c>
      <c r="I44" s="260"/>
      <c r="J44" s="262"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2"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3"/>
      <c r="M44" s="263"/>
      <c r="N44" s="264"/>
      <c r="O44" s="264"/>
      <c r="P44" s="265" t="str" cm="1">
        <f t="array" aca="1" ref="P44" ca="1">_xlfn.IFNA(_xlfn.IFS(T44="Dit kostentype hoeft u niet op te geven. Hiervoor wordt een forfait berekend.","",AND(J44&lt;&gt;"",OR(H44="Uurtarief",H44="Vast tarief")),J44*L44,AND(N44&gt;0,H44="-"),N44),"")</f>
        <v/>
      </c>
      <c r="Q44" s="265" t="str" cm="1">
        <f t="array" aca="1" ref="Q44" ca="1">_xlfn.IFNA(_xlfn.IFS(T44="Dit kostentype hoeft u niet op te geven. Hiervoor wordt een forfait berekend.","",AND(K44&lt;&gt;"",M44&lt;&gt;"",OR(H44="Uurtarief",H44="Vast tarief")),K44*M44,AND(O44&lt;&gt;"",H44="-"),O44),"")</f>
        <v/>
      </c>
      <c r="R44" s="265"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5"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6" t="str">
        <f>IFERROR(VLOOKUP(F44,Tb_ProjectKosten[#All],11,0),"")</f>
        <v/>
      </c>
      <c r="U44" s="257"/>
    </row>
    <row r="45" spans="1:21" ht="15" customHeight="1" x14ac:dyDescent="0.25">
      <c r="A45" s="258">
        <v>40</v>
      </c>
      <c r="B45" s="259"/>
      <c r="C45" s="259"/>
      <c r="D45" s="259"/>
      <c r="E45" s="259"/>
      <c r="F45" s="259"/>
      <c r="G45" s="260"/>
      <c r="H45" s="261" t="str">
        <f ca="1">IFERROR(IF(VLOOKUP(F45,Kostentypen!$A$3:$E$20,3,0)=0,"",IF(F45="Arbeidskosten",VLOOKUP(G45,Tb_KostenTypen[],2,0),VLOOKUP(F45,Kostentypen!$A$3:$E$20,3,0))),"")</f>
        <v/>
      </c>
      <c r="I45" s="260"/>
      <c r="J45" s="262"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2"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3"/>
      <c r="M45" s="263"/>
      <c r="N45" s="264"/>
      <c r="O45" s="264"/>
      <c r="P45" s="265" t="str" cm="1">
        <f t="array" aca="1" ref="P45" ca="1">_xlfn.IFNA(_xlfn.IFS(T45="Dit kostentype hoeft u niet op te geven. Hiervoor wordt een forfait berekend.","",AND(J45&lt;&gt;"",OR(H45="Uurtarief",H45="Vast tarief")),J45*L45,AND(N45&gt;0,H45="-"),N45),"")</f>
        <v/>
      </c>
      <c r="Q45" s="265" t="str" cm="1">
        <f t="array" aca="1" ref="Q45" ca="1">_xlfn.IFNA(_xlfn.IFS(T45="Dit kostentype hoeft u niet op te geven. Hiervoor wordt een forfait berekend.","",AND(K45&lt;&gt;"",M45&lt;&gt;"",OR(H45="Uurtarief",H45="Vast tarief")),K45*M45,AND(O45&lt;&gt;"",H45="-"),O45),"")</f>
        <v/>
      </c>
      <c r="R45" s="265"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5"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6" t="str">
        <f>IFERROR(VLOOKUP(F45,Tb_ProjectKosten[#All],11,0),"")</f>
        <v/>
      </c>
      <c r="U45" s="257"/>
    </row>
    <row r="46" spans="1:21" ht="15" customHeight="1" x14ac:dyDescent="0.25">
      <c r="A46" s="258">
        <v>41</v>
      </c>
      <c r="B46" s="259"/>
      <c r="C46" s="259"/>
      <c r="D46" s="259"/>
      <c r="E46" s="259"/>
      <c r="F46" s="259"/>
      <c r="G46" s="260"/>
      <c r="H46" s="261" t="str">
        <f ca="1">IFERROR(IF(VLOOKUP(F46,Kostentypen!$A$3:$E$20,3,0)=0,"",IF(F46="Arbeidskosten",VLOOKUP(G46,Tb_KostenTypen[],2,0),VLOOKUP(F46,Kostentypen!$A$3:$E$20,3,0))),"")</f>
        <v/>
      </c>
      <c r="I46" s="260"/>
      <c r="J46" s="262"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2"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3"/>
      <c r="M46" s="263"/>
      <c r="N46" s="264"/>
      <c r="O46" s="264"/>
      <c r="P46" s="265" t="str" cm="1">
        <f t="array" aca="1" ref="P46" ca="1">_xlfn.IFNA(_xlfn.IFS(T46="Dit kostentype hoeft u niet op te geven. Hiervoor wordt een forfait berekend.","",AND(J46&lt;&gt;"",OR(H46="Uurtarief",H46="Vast tarief")),J46*L46,AND(N46&gt;0,H46="-"),N46),"")</f>
        <v/>
      </c>
      <c r="Q46" s="265" t="str" cm="1">
        <f t="array" aca="1" ref="Q46" ca="1">_xlfn.IFNA(_xlfn.IFS(T46="Dit kostentype hoeft u niet op te geven. Hiervoor wordt een forfait berekend.","",AND(K46&lt;&gt;"",M46&lt;&gt;"",OR(H46="Uurtarief",H46="Vast tarief")),K46*M46,AND(O46&lt;&gt;"",H46="-"),O46),"")</f>
        <v/>
      </c>
      <c r="R46" s="265"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5"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6" t="str">
        <f>IFERROR(VLOOKUP(F46,Tb_ProjectKosten[#All],11,0),"")</f>
        <v/>
      </c>
      <c r="U46" s="257"/>
    </row>
    <row r="47" spans="1:21" ht="15" customHeight="1" x14ac:dyDescent="0.25">
      <c r="A47" s="258">
        <v>42</v>
      </c>
      <c r="B47" s="259"/>
      <c r="C47" s="259"/>
      <c r="D47" s="259"/>
      <c r="E47" s="259"/>
      <c r="F47" s="259"/>
      <c r="G47" s="260"/>
      <c r="H47" s="261" t="str">
        <f ca="1">IFERROR(IF(VLOOKUP(F47,Kostentypen!$A$3:$E$20,3,0)=0,"",IF(F47="Arbeidskosten",VLOOKUP(G47,Tb_KostenTypen[],2,0),VLOOKUP(F47,Kostentypen!$A$3:$E$20,3,0))),"")</f>
        <v/>
      </c>
      <c r="I47" s="260"/>
      <c r="J47" s="262"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2"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3"/>
      <c r="M47" s="263"/>
      <c r="N47" s="264"/>
      <c r="O47" s="264"/>
      <c r="P47" s="265" t="str" cm="1">
        <f t="array" aca="1" ref="P47" ca="1">_xlfn.IFNA(_xlfn.IFS(T47="Dit kostentype hoeft u niet op te geven. Hiervoor wordt een forfait berekend.","",AND(J47&lt;&gt;"",OR(H47="Uurtarief",H47="Vast tarief")),J47*L47,AND(N47&gt;0,H47="-"),N47),"")</f>
        <v/>
      </c>
      <c r="Q47" s="265" t="str" cm="1">
        <f t="array" aca="1" ref="Q47" ca="1">_xlfn.IFNA(_xlfn.IFS(T47="Dit kostentype hoeft u niet op te geven. Hiervoor wordt een forfait berekend.","",AND(K47&lt;&gt;"",M47&lt;&gt;"",OR(H47="Uurtarief",H47="Vast tarief")),K47*M47,AND(O47&lt;&gt;"",H47="-"),O47),"")</f>
        <v/>
      </c>
      <c r="R47" s="265"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5"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6" t="str">
        <f>IFERROR(VLOOKUP(F47,Tb_ProjectKosten[#All],11,0),"")</f>
        <v/>
      </c>
      <c r="U47" s="257"/>
    </row>
    <row r="48" spans="1:21" ht="15" customHeight="1" x14ac:dyDescent="0.25">
      <c r="A48" s="258">
        <v>43</v>
      </c>
      <c r="B48" s="259"/>
      <c r="C48" s="259"/>
      <c r="D48" s="259"/>
      <c r="E48" s="259"/>
      <c r="F48" s="259"/>
      <c r="G48" s="260"/>
      <c r="H48" s="261" t="str">
        <f ca="1">IFERROR(IF(VLOOKUP(F48,Kostentypen!$A$3:$E$20,3,0)=0,"",IF(F48="Arbeidskosten",VLOOKUP(G48,Tb_KostenTypen[],2,0),VLOOKUP(F48,Kostentypen!$A$3:$E$20,3,0))),"")</f>
        <v/>
      </c>
      <c r="I48" s="260"/>
      <c r="J48" s="262"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2"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3"/>
      <c r="M48" s="263"/>
      <c r="N48" s="264"/>
      <c r="O48" s="264"/>
      <c r="P48" s="265" t="str" cm="1">
        <f t="array" aca="1" ref="P48" ca="1">_xlfn.IFNA(_xlfn.IFS(T48="Dit kostentype hoeft u niet op te geven. Hiervoor wordt een forfait berekend.","",AND(J48&lt;&gt;"",OR(H48="Uurtarief",H48="Vast tarief")),J48*L48,AND(N48&gt;0,H48="-"),N48),"")</f>
        <v/>
      </c>
      <c r="Q48" s="265" t="str" cm="1">
        <f t="array" aca="1" ref="Q48" ca="1">_xlfn.IFNA(_xlfn.IFS(T48="Dit kostentype hoeft u niet op te geven. Hiervoor wordt een forfait berekend.","",AND(K48&lt;&gt;"",M48&lt;&gt;"",OR(H48="Uurtarief",H48="Vast tarief")),K48*M48,AND(O48&lt;&gt;"",H48="-"),O48),"")</f>
        <v/>
      </c>
      <c r="R48" s="265"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5"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6" t="str">
        <f>IFERROR(VLOOKUP(F48,Tb_ProjectKosten[#All],11,0),"")</f>
        <v/>
      </c>
      <c r="U48" s="257"/>
    </row>
    <row r="49" spans="1:21" ht="15" customHeight="1" x14ac:dyDescent="0.25">
      <c r="A49" s="258">
        <v>44</v>
      </c>
      <c r="B49" s="259"/>
      <c r="C49" s="259"/>
      <c r="D49" s="259"/>
      <c r="E49" s="259"/>
      <c r="F49" s="259"/>
      <c r="G49" s="260"/>
      <c r="H49" s="261" t="str">
        <f ca="1">IFERROR(IF(VLOOKUP(F49,Kostentypen!$A$3:$E$20,3,0)=0,"",IF(F49="Arbeidskosten",VLOOKUP(G49,Tb_KostenTypen[],2,0),VLOOKUP(F49,Kostentypen!$A$3:$E$20,3,0))),"")</f>
        <v/>
      </c>
      <c r="I49" s="260"/>
      <c r="J49" s="262"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2"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3"/>
      <c r="M49" s="263"/>
      <c r="N49" s="264"/>
      <c r="O49" s="264"/>
      <c r="P49" s="265" t="str" cm="1">
        <f t="array" aca="1" ref="P49" ca="1">_xlfn.IFNA(_xlfn.IFS(T49="Dit kostentype hoeft u niet op te geven. Hiervoor wordt een forfait berekend.","",AND(J49&lt;&gt;"",OR(H49="Uurtarief",H49="Vast tarief")),J49*L49,AND(N49&gt;0,H49="-"),N49),"")</f>
        <v/>
      </c>
      <c r="Q49" s="265" t="str" cm="1">
        <f t="array" aca="1" ref="Q49" ca="1">_xlfn.IFNA(_xlfn.IFS(T49="Dit kostentype hoeft u niet op te geven. Hiervoor wordt een forfait berekend.","",AND(K49&lt;&gt;"",M49&lt;&gt;"",OR(H49="Uurtarief",H49="Vast tarief")),K49*M49,AND(O49&lt;&gt;"",H49="-"),O49),"")</f>
        <v/>
      </c>
      <c r="R49" s="265"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5"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6" t="str">
        <f>IFERROR(VLOOKUP(F49,Tb_ProjectKosten[#All],11,0),"")</f>
        <v/>
      </c>
      <c r="U49" s="257"/>
    </row>
    <row r="50" spans="1:21" ht="15" customHeight="1" x14ac:dyDescent="0.25">
      <c r="A50" s="258">
        <v>45</v>
      </c>
      <c r="B50" s="259"/>
      <c r="C50" s="259"/>
      <c r="D50" s="259"/>
      <c r="E50" s="259"/>
      <c r="F50" s="259"/>
      <c r="G50" s="260"/>
      <c r="H50" s="261" t="str">
        <f ca="1">IFERROR(IF(VLOOKUP(F50,Kostentypen!$A$3:$E$20,3,0)=0,"",IF(F50="Arbeidskosten",VLOOKUP(G50,Tb_KostenTypen[],2,0),VLOOKUP(F50,Kostentypen!$A$3:$E$20,3,0))),"")</f>
        <v/>
      </c>
      <c r="I50" s="260"/>
      <c r="J50" s="262"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2"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3"/>
      <c r="M50" s="263"/>
      <c r="N50" s="264"/>
      <c r="O50" s="264"/>
      <c r="P50" s="265" t="str" cm="1">
        <f t="array" aca="1" ref="P50" ca="1">_xlfn.IFNA(_xlfn.IFS(T50="Dit kostentype hoeft u niet op te geven. Hiervoor wordt een forfait berekend.","",AND(J50&lt;&gt;"",OR(H50="Uurtarief",H50="Vast tarief")),J50*L50,AND(N50&gt;0,H50="-"),N50),"")</f>
        <v/>
      </c>
      <c r="Q50" s="265" t="str" cm="1">
        <f t="array" aca="1" ref="Q50" ca="1">_xlfn.IFNA(_xlfn.IFS(T50="Dit kostentype hoeft u niet op te geven. Hiervoor wordt een forfait berekend.","",AND(K50&lt;&gt;"",M50&lt;&gt;"",OR(H50="Uurtarief",H50="Vast tarief")),K50*M50,AND(O50&lt;&gt;"",H50="-"),O50),"")</f>
        <v/>
      </c>
      <c r="R50" s="265"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5"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6" t="str">
        <f>IFERROR(VLOOKUP(F50,Tb_ProjectKosten[#All],11,0),"")</f>
        <v/>
      </c>
      <c r="U50" s="257"/>
    </row>
    <row r="51" spans="1:21" ht="15" customHeight="1" x14ac:dyDescent="0.25">
      <c r="A51" s="258">
        <v>46</v>
      </c>
      <c r="B51" s="259"/>
      <c r="C51" s="259"/>
      <c r="D51" s="259"/>
      <c r="E51" s="259"/>
      <c r="F51" s="259"/>
      <c r="G51" s="260"/>
      <c r="H51" s="261" t="str">
        <f ca="1">IFERROR(IF(VLOOKUP(F51,Kostentypen!$A$3:$E$20,3,0)=0,"",IF(F51="Arbeidskosten",VLOOKUP(G51,Tb_KostenTypen[],2,0),VLOOKUP(F51,Kostentypen!$A$3:$E$20,3,0))),"")</f>
        <v/>
      </c>
      <c r="I51" s="260"/>
      <c r="J51" s="262"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2"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3"/>
      <c r="M51" s="263"/>
      <c r="N51" s="264"/>
      <c r="O51" s="264"/>
      <c r="P51" s="265" t="str" cm="1">
        <f t="array" aca="1" ref="P51" ca="1">_xlfn.IFNA(_xlfn.IFS(T51="Dit kostentype hoeft u niet op te geven. Hiervoor wordt een forfait berekend.","",AND(J51&lt;&gt;"",OR(H51="Uurtarief",H51="Vast tarief")),J51*L51,AND(N51&gt;0,H51="-"),N51),"")</f>
        <v/>
      </c>
      <c r="Q51" s="265" t="str" cm="1">
        <f t="array" aca="1" ref="Q51" ca="1">_xlfn.IFNA(_xlfn.IFS(T51="Dit kostentype hoeft u niet op te geven. Hiervoor wordt een forfait berekend.","",AND(K51&lt;&gt;"",M51&lt;&gt;"",OR(H51="Uurtarief",H51="Vast tarief")),K51*M51,AND(O51&lt;&gt;"",H51="-"),O51),"")</f>
        <v/>
      </c>
      <c r="R51" s="265"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5"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6" t="str">
        <f>IFERROR(VLOOKUP(F51,Tb_ProjectKosten[#All],11,0),"")</f>
        <v/>
      </c>
      <c r="U51" s="257"/>
    </row>
    <row r="52" spans="1:21" ht="15" customHeight="1" x14ac:dyDescent="0.25">
      <c r="A52" s="258">
        <v>47</v>
      </c>
      <c r="B52" s="259"/>
      <c r="C52" s="259"/>
      <c r="D52" s="259"/>
      <c r="E52" s="259"/>
      <c r="F52" s="259"/>
      <c r="G52" s="260"/>
      <c r="H52" s="261" t="str">
        <f ca="1">IFERROR(IF(VLOOKUP(F52,Kostentypen!$A$3:$E$20,3,0)=0,"",IF(F52="Arbeidskosten",VLOOKUP(G52,Tb_KostenTypen[],2,0),VLOOKUP(F52,Kostentypen!$A$3:$E$20,3,0))),"")</f>
        <v/>
      </c>
      <c r="I52" s="260"/>
      <c r="J52" s="262"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2"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3"/>
      <c r="M52" s="263"/>
      <c r="N52" s="264"/>
      <c r="O52" s="264"/>
      <c r="P52" s="265" t="str" cm="1">
        <f t="array" aca="1" ref="P52" ca="1">_xlfn.IFNA(_xlfn.IFS(T52="Dit kostentype hoeft u niet op te geven. Hiervoor wordt een forfait berekend.","",AND(J52&lt;&gt;"",OR(H52="Uurtarief",H52="Vast tarief")),J52*L52,AND(N52&gt;0,H52="-"),N52),"")</f>
        <v/>
      </c>
      <c r="Q52" s="265" t="str" cm="1">
        <f t="array" aca="1" ref="Q52" ca="1">_xlfn.IFNA(_xlfn.IFS(T52="Dit kostentype hoeft u niet op te geven. Hiervoor wordt een forfait berekend.","",AND(K52&lt;&gt;"",M52&lt;&gt;"",OR(H52="Uurtarief",H52="Vast tarief")),K52*M52,AND(O52&lt;&gt;"",H52="-"),O52),"")</f>
        <v/>
      </c>
      <c r="R52" s="265"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5"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6" t="str">
        <f>IFERROR(VLOOKUP(F52,Tb_ProjectKosten[#All],11,0),"")</f>
        <v/>
      </c>
      <c r="U52" s="257"/>
    </row>
    <row r="53" spans="1:21" ht="15" customHeight="1" x14ac:dyDescent="0.25">
      <c r="A53" s="258">
        <v>48</v>
      </c>
      <c r="B53" s="259"/>
      <c r="C53" s="259"/>
      <c r="D53" s="259"/>
      <c r="E53" s="259"/>
      <c r="F53" s="259"/>
      <c r="G53" s="260"/>
      <c r="H53" s="261" t="str">
        <f ca="1">IFERROR(IF(VLOOKUP(F53,Kostentypen!$A$3:$E$20,3,0)=0,"",IF(F53="Arbeidskosten",VLOOKUP(G53,Tb_KostenTypen[],2,0),VLOOKUP(F53,Kostentypen!$A$3:$E$20,3,0))),"")</f>
        <v/>
      </c>
      <c r="I53" s="260"/>
      <c r="J53" s="262"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2"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3"/>
      <c r="M53" s="263"/>
      <c r="N53" s="264"/>
      <c r="O53" s="264"/>
      <c r="P53" s="265" t="str" cm="1">
        <f t="array" aca="1" ref="P53" ca="1">_xlfn.IFNA(_xlfn.IFS(T53="Dit kostentype hoeft u niet op te geven. Hiervoor wordt een forfait berekend.","",AND(J53&lt;&gt;"",OR(H53="Uurtarief",H53="Vast tarief")),J53*L53,AND(N53&gt;0,H53="-"),N53),"")</f>
        <v/>
      </c>
      <c r="Q53" s="265" t="str" cm="1">
        <f t="array" aca="1" ref="Q53" ca="1">_xlfn.IFNA(_xlfn.IFS(T53="Dit kostentype hoeft u niet op te geven. Hiervoor wordt een forfait berekend.","",AND(K53&lt;&gt;"",M53&lt;&gt;"",OR(H53="Uurtarief",H53="Vast tarief")),K53*M53,AND(O53&lt;&gt;"",H53="-"),O53),"")</f>
        <v/>
      </c>
      <c r="R53" s="265"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5"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6" t="str">
        <f>IFERROR(VLOOKUP(F53,Tb_ProjectKosten[#All],11,0),"")</f>
        <v/>
      </c>
      <c r="U53" s="257"/>
    </row>
    <row r="54" spans="1:21" ht="15" customHeight="1" x14ac:dyDescent="0.25">
      <c r="A54" s="258">
        <v>49</v>
      </c>
      <c r="B54" s="259"/>
      <c r="C54" s="259"/>
      <c r="D54" s="259"/>
      <c r="E54" s="259"/>
      <c r="F54" s="259"/>
      <c r="G54" s="260"/>
      <c r="H54" s="261" t="str">
        <f ca="1">IFERROR(IF(VLOOKUP(F54,Kostentypen!$A$3:$E$20,3,0)=0,"",IF(F54="Arbeidskosten",VLOOKUP(G54,Tb_KostenTypen[],2,0),VLOOKUP(F54,Kostentypen!$A$3:$E$20,3,0))),"")</f>
        <v/>
      </c>
      <c r="I54" s="260"/>
      <c r="J54" s="262"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2"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3"/>
      <c r="M54" s="263"/>
      <c r="N54" s="264"/>
      <c r="O54" s="264"/>
      <c r="P54" s="265" t="str" cm="1">
        <f t="array" aca="1" ref="P54" ca="1">_xlfn.IFNA(_xlfn.IFS(T54="Dit kostentype hoeft u niet op te geven. Hiervoor wordt een forfait berekend.","",AND(J54&lt;&gt;"",OR(H54="Uurtarief",H54="Vast tarief")),J54*L54,AND(N54&gt;0,H54="-"),N54),"")</f>
        <v/>
      </c>
      <c r="Q54" s="265" t="str" cm="1">
        <f t="array" aca="1" ref="Q54" ca="1">_xlfn.IFNA(_xlfn.IFS(T54="Dit kostentype hoeft u niet op te geven. Hiervoor wordt een forfait berekend.","",AND(K54&lt;&gt;"",M54&lt;&gt;"",OR(H54="Uurtarief",H54="Vast tarief")),K54*M54,AND(O54&lt;&gt;"",H54="-"),O54),"")</f>
        <v/>
      </c>
      <c r="R54" s="265"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5"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6" t="str">
        <f>IFERROR(VLOOKUP(F54,Tb_ProjectKosten[#All],11,0),"")</f>
        <v/>
      </c>
      <c r="U54" s="257"/>
    </row>
    <row r="55" spans="1:21" ht="15" customHeight="1" x14ac:dyDescent="0.25">
      <c r="A55" s="258">
        <v>50</v>
      </c>
      <c r="B55" s="259"/>
      <c r="C55" s="259"/>
      <c r="D55" s="259"/>
      <c r="E55" s="259"/>
      <c r="F55" s="259"/>
      <c r="G55" s="260"/>
      <c r="H55" s="261" t="str">
        <f ca="1">IFERROR(IF(VLOOKUP(F55,Kostentypen!$A$3:$E$20,3,0)=0,"",IF(F55="Arbeidskosten",VLOOKUP(G55,Tb_KostenTypen[],2,0),VLOOKUP(F55,Kostentypen!$A$3:$E$20,3,0))),"")</f>
        <v/>
      </c>
      <c r="I55" s="260"/>
      <c r="J55" s="262"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2"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3"/>
      <c r="M55" s="263"/>
      <c r="N55" s="264"/>
      <c r="O55" s="264"/>
      <c r="P55" s="265" t="str" cm="1">
        <f t="array" aca="1" ref="P55" ca="1">_xlfn.IFNA(_xlfn.IFS(T55="Dit kostentype hoeft u niet op te geven. Hiervoor wordt een forfait berekend.","",AND(J55&lt;&gt;"",OR(H55="Uurtarief",H55="Vast tarief")),J55*L55,AND(N55&gt;0,H55="-"),N55),"")</f>
        <v/>
      </c>
      <c r="Q55" s="265" t="str" cm="1">
        <f t="array" aca="1" ref="Q55" ca="1">_xlfn.IFNA(_xlfn.IFS(T55="Dit kostentype hoeft u niet op te geven. Hiervoor wordt een forfait berekend.","",AND(K55&lt;&gt;"",M55&lt;&gt;"",OR(H55="Uurtarief",H55="Vast tarief")),K55*M55,AND(O55&lt;&gt;"",H55="-"),O55),"")</f>
        <v/>
      </c>
      <c r="R55" s="265"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5"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6" t="str">
        <f>IFERROR(VLOOKUP(F55,Tb_ProjectKosten[#All],11,0),"")</f>
        <v/>
      </c>
      <c r="U55" s="257"/>
    </row>
    <row r="56" spans="1:21" ht="15" customHeight="1" x14ac:dyDescent="0.25">
      <c r="A56" s="258">
        <v>51</v>
      </c>
      <c r="B56" s="259"/>
      <c r="C56" s="259"/>
      <c r="D56" s="259"/>
      <c r="E56" s="259"/>
      <c r="F56" s="259"/>
      <c r="G56" s="260"/>
      <c r="H56" s="261" t="str">
        <f ca="1">IFERROR(IF(VLOOKUP(F56,Kostentypen!$A$3:$E$20,3,0)=0,"",IF(F56="Arbeidskosten",VLOOKUP(G56,Tb_KostenTypen[],2,0),VLOOKUP(F56,Kostentypen!$A$3:$E$20,3,0))),"")</f>
        <v/>
      </c>
      <c r="I56" s="260"/>
      <c r="J56" s="262"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2"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3"/>
      <c r="M56" s="263"/>
      <c r="N56" s="264"/>
      <c r="O56" s="264"/>
      <c r="P56" s="265" t="str" cm="1">
        <f t="array" aca="1" ref="P56" ca="1">_xlfn.IFNA(_xlfn.IFS(T56="Dit kostentype hoeft u niet op te geven. Hiervoor wordt een forfait berekend.","",AND(J56&lt;&gt;"",OR(H56="Uurtarief",H56="Vast tarief")),J56*L56,AND(N56&gt;0,H56="-"),N56),"")</f>
        <v/>
      </c>
      <c r="Q56" s="265" t="str" cm="1">
        <f t="array" aca="1" ref="Q56" ca="1">_xlfn.IFNA(_xlfn.IFS(T56="Dit kostentype hoeft u niet op te geven. Hiervoor wordt een forfait berekend.","",AND(K56&lt;&gt;"",M56&lt;&gt;"",OR(H56="Uurtarief",H56="Vast tarief")),K56*M56,AND(O56&lt;&gt;"",H56="-"),O56),"")</f>
        <v/>
      </c>
      <c r="R56" s="265"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5"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6" t="str">
        <f>IFERROR(VLOOKUP(F56,Tb_ProjectKosten[#All],11,0),"")</f>
        <v/>
      </c>
      <c r="U56" s="257"/>
    </row>
    <row r="57" spans="1:21" ht="15" customHeight="1" x14ac:dyDescent="0.25">
      <c r="A57" s="258">
        <v>52</v>
      </c>
      <c r="B57" s="259"/>
      <c r="C57" s="259"/>
      <c r="D57" s="259"/>
      <c r="E57" s="259"/>
      <c r="F57" s="259"/>
      <c r="G57" s="260"/>
      <c r="H57" s="261" t="str">
        <f ca="1">IFERROR(IF(VLOOKUP(F57,Kostentypen!$A$3:$E$20,3,0)=0,"",IF(F57="Arbeidskosten",VLOOKUP(G57,Tb_KostenTypen[],2,0),VLOOKUP(F57,Kostentypen!$A$3:$E$20,3,0))),"")</f>
        <v/>
      </c>
      <c r="I57" s="260"/>
      <c r="J57" s="262"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2"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3"/>
      <c r="M57" s="263"/>
      <c r="N57" s="264"/>
      <c r="O57" s="264"/>
      <c r="P57" s="265" t="str" cm="1">
        <f t="array" aca="1" ref="P57" ca="1">_xlfn.IFNA(_xlfn.IFS(T57="Dit kostentype hoeft u niet op te geven. Hiervoor wordt een forfait berekend.","",AND(J57&lt;&gt;"",OR(H57="Uurtarief",H57="Vast tarief")),J57*L57,AND(N57&gt;0,H57="-"),N57),"")</f>
        <v/>
      </c>
      <c r="Q57" s="265" t="str" cm="1">
        <f t="array" aca="1" ref="Q57" ca="1">_xlfn.IFNA(_xlfn.IFS(T57="Dit kostentype hoeft u niet op te geven. Hiervoor wordt een forfait berekend.","",AND(K57&lt;&gt;"",M57&lt;&gt;"",OR(H57="Uurtarief",H57="Vast tarief")),K57*M57,AND(O57&lt;&gt;"",H57="-"),O57),"")</f>
        <v/>
      </c>
      <c r="R57" s="265"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5"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6" t="str">
        <f>IFERROR(VLOOKUP(F57,Tb_ProjectKosten[#All],11,0),"")</f>
        <v/>
      </c>
      <c r="U57" s="257"/>
    </row>
    <row r="58" spans="1:21" ht="15" customHeight="1" x14ac:dyDescent="0.25">
      <c r="A58" s="258">
        <v>53</v>
      </c>
      <c r="B58" s="259"/>
      <c r="C58" s="259"/>
      <c r="D58" s="259"/>
      <c r="E58" s="259"/>
      <c r="F58" s="259"/>
      <c r="G58" s="260"/>
      <c r="H58" s="261" t="str">
        <f ca="1">IFERROR(IF(VLOOKUP(F58,Kostentypen!$A$3:$E$20,3,0)=0,"",IF(F58="Arbeidskosten",VLOOKUP(G58,Tb_KostenTypen[],2,0),VLOOKUP(F58,Kostentypen!$A$3:$E$20,3,0))),"")</f>
        <v/>
      </c>
      <c r="I58" s="260"/>
      <c r="J58" s="262"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2"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3"/>
      <c r="M58" s="263"/>
      <c r="N58" s="264"/>
      <c r="O58" s="264"/>
      <c r="P58" s="265" t="str" cm="1">
        <f t="array" aca="1" ref="P58" ca="1">_xlfn.IFNA(_xlfn.IFS(T58="Dit kostentype hoeft u niet op te geven. Hiervoor wordt een forfait berekend.","",AND(J58&lt;&gt;"",OR(H58="Uurtarief",H58="Vast tarief")),J58*L58,AND(N58&gt;0,H58="-"),N58),"")</f>
        <v/>
      </c>
      <c r="Q58" s="265" t="str" cm="1">
        <f t="array" aca="1" ref="Q58" ca="1">_xlfn.IFNA(_xlfn.IFS(T58="Dit kostentype hoeft u niet op te geven. Hiervoor wordt een forfait berekend.","",AND(K58&lt;&gt;"",M58&lt;&gt;"",OR(H58="Uurtarief",H58="Vast tarief")),K58*M58,AND(O58&lt;&gt;"",H58="-"),O58),"")</f>
        <v/>
      </c>
      <c r="R58" s="265"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5"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6" t="str">
        <f>IFERROR(VLOOKUP(F58,Tb_ProjectKosten[#All],11,0),"")</f>
        <v/>
      </c>
      <c r="U58" s="257"/>
    </row>
    <row r="59" spans="1:21" ht="15" customHeight="1" x14ac:dyDescent="0.25">
      <c r="A59" s="258">
        <v>54</v>
      </c>
      <c r="B59" s="259"/>
      <c r="C59" s="259"/>
      <c r="D59" s="259"/>
      <c r="E59" s="259"/>
      <c r="F59" s="259"/>
      <c r="G59" s="260"/>
      <c r="H59" s="261" t="str">
        <f ca="1">IFERROR(IF(VLOOKUP(F59,Kostentypen!$A$3:$E$20,3,0)=0,"",IF(F59="Arbeidskosten",VLOOKUP(G59,Tb_KostenTypen[],2,0),VLOOKUP(F59,Kostentypen!$A$3:$E$20,3,0))),"")</f>
        <v/>
      </c>
      <c r="I59" s="260"/>
      <c r="J59" s="262"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2"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3"/>
      <c r="M59" s="263"/>
      <c r="N59" s="264"/>
      <c r="O59" s="264"/>
      <c r="P59" s="265" t="str" cm="1">
        <f t="array" aca="1" ref="P59" ca="1">_xlfn.IFNA(_xlfn.IFS(T59="Dit kostentype hoeft u niet op te geven. Hiervoor wordt een forfait berekend.","",AND(J59&lt;&gt;"",OR(H59="Uurtarief",H59="Vast tarief")),J59*L59,AND(N59&gt;0,H59="-"),N59),"")</f>
        <v/>
      </c>
      <c r="Q59" s="265" t="str" cm="1">
        <f t="array" aca="1" ref="Q59" ca="1">_xlfn.IFNA(_xlfn.IFS(T59="Dit kostentype hoeft u niet op te geven. Hiervoor wordt een forfait berekend.","",AND(K59&lt;&gt;"",M59&lt;&gt;"",OR(H59="Uurtarief",H59="Vast tarief")),K59*M59,AND(O59&lt;&gt;"",H59="-"),O59),"")</f>
        <v/>
      </c>
      <c r="R59" s="265"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5"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6" t="str">
        <f>IFERROR(VLOOKUP(F59,Tb_ProjectKosten[#All],11,0),"")</f>
        <v/>
      </c>
      <c r="U59" s="257"/>
    </row>
    <row r="60" spans="1:21" ht="15" customHeight="1" x14ac:dyDescent="0.25">
      <c r="A60" s="258">
        <v>55</v>
      </c>
      <c r="B60" s="259"/>
      <c r="C60" s="259"/>
      <c r="D60" s="259"/>
      <c r="E60" s="259"/>
      <c r="F60" s="259"/>
      <c r="G60" s="260"/>
      <c r="H60" s="261" t="str">
        <f ca="1">IFERROR(IF(VLOOKUP(F60,Kostentypen!$A$3:$E$20,3,0)=0,"",IF(F60="Arbeidskosten",VLOOKUP(G60,Tb_KostenTypen[],2,0),VLOOKUP(F60,Kostentypen!$A$3:$E$20,3,0))),"")</f>
        <v/>
      </c>
      <c r="I60" s="260"/>
      <c r="J60" s="262"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2"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3"/>
      <c r="M60" s="263"/>
      <c r="N60" s="264"/>
      <c r="O60" s="264"/>
      <c r="P60" s="265" t="str" cm="1">
        <f t="array" aca="1" ref="P60" ca="1">_xlfn.IFNA(_xlfn.IFS(T60="Dit kostentype hoeft u niet op te geven. Hiervoor wordt een forfait berekend.","",AND(J60&lt;&gt;"",OR(H60="Uurtarief",H60="Vast tarief")),J60*L60,AND(N60&gt;0,H60="-"),N60),"")</f>
        <v/>
      </c>
      <c r="Q60" s="265" t="str" cm="1">
        <f t="array" aca="1" ref="Q60" ca="1">_xlfn.IFNA(_xlfn.IFS(T60="Dit kostentype hoeft u niet op te geven. Hiervoor wordt een forfait berekend.","",AND(K60&lt;&gt;"",M60&lt;&gt;"",OR(H60="Uurtarief",H60="Vast tarief")),K60*M60,AND(O60&lt;&gt;"",H60="-"),O60),"")</f>
        <v/>
      </c>
      <c r="R60" s="265"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5"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6" t="str">
        <f>IFERROR(VLOOKUP(F60,Tb_ProjectKosten[#All],11,0),"")</f>
        <v/>
      </c>
      <c r="U60" s="257"/>
    </row>
    <row r="61" spans="1:21" ht="15" customHeight="1" x14ac:dyDescent="0.25">
      <c r="A61" s="258">
        <v>56</v>
      </c>
      <c r="B61" s="259"/>
      <c r="C61" s="259"/>
      <c r="D61" s="259"/>
      <c r="E61" s="259"/>
      <c r="F61" s="259"/>
      <c r="G61" s="260"/>
      <c r="H61" s="261" t="str">
        <f ca="1">IFERROR(IF(VLOOKUP(F61,Kostentypen!$A$3:$E$20,3,0)=0,"",IF(F61="Arbeidskosten",VLOOKUP(G61,Tb_KostenTypen[],2,0),VLOOKUP(F61,Kostentypen!$A$3:$E$20,3,0))),"")</f>
        <v/>
      </c>
      <c r="I61" s="260"/>
      <c r="J61" s="262"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2"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3"/>
      <c r="M61" s="263"/>
      <c r="N61" s="264"/>
      <c r="O61" s="264"/>
      <c r="P61" s="265" t="str" cm="1">
        <f t="array" aca="1" ref="P61" ca="1">_xlfn.IFNA(_xlfn.IFS(T61="Dit kostentype hoeft u niet op te geven. Hiervoor wordt een forfait berekend.","",AND(J61&lt;&gt;"",OR(H61="Uurtarief",H61="Vast tarief")),J61*L61,AND(N61&gt;0,H61="-"),N61),"")</f>
        <v/>
      </c>
      <c r="Q61" s="265" t="str" cm="1">
        <f t="array" aca="1" ref="Q61" ca="1">_xlfn.IFNA(_xlfn.IFS(T61="Dit kostentype hoeft u niet op te geven. Hiervoor wordt een forfait berekend.","",AND(K61&lt;&gt;"",M61&lt;&gt;"",OR(H61="Uurtarief",H61="Vast tarief")),K61*M61,AND(O61&lt;&gt;"",H61="-"),O61),"")</f>
        <v/>
      </c>
      <c r="R61" s="265"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5"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6" t="str">
        <f>IFERROR(VLOOKUP(F61,Tb_ProjectKosten[#All],11,0),"")</f>
        <v/>
      </c>
      <c r="U61" s="257"/>
    </row>
    <row r="62" spans="1:21" ht="15" customHeight="1" x14ac:dyDescent="0.25">
      <c r="A62" s="258">
        <v>57</v>
      </c>
      <c r="B62" s="259"/>
      <c r="C62" s="259"/>
      <c r="D62" s="259"/>
      <c r="E62" s="259"/>
      <c r="F62" s="259"/>
      <c r="G62" s="260"/>
      <c r="H62" s="261" t="str">
        <f ca="1">IFERROR(IF(VLOOKUP(F62,Kostentypen!$A$3:$E$20,3,0)=0,"",IF(F62="Arbeidskosten",VLOOKUP(G62,Tb_KostenTypen[],2,0),VLOOKUP(F62,Kostentypen!$A$3:$E$20,3,0))),"")</f>
        <v/>
      </c>
      <c r="I62" s="260"/>
      <c r="J62" s="262"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2"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3"/>
      <c r="M62" s="263"/>
      <c r="N62" s="264"/>
      <c r="O62" s="264"/>
      <c r="P62" s="265" t="str" cm="1">
        <f t="array" aca="1" ref="P62" ca="1">_xlfn.IFNA(_xlfn.IFS(T62="Dit kostentype hoeft u niet op te geven. Hiervoor wordt een forfait berekend.","",AND(J62&lt;&gt;"",OR(H62="Uurtarief",H62="Vast tarief")),J62*L62,AND(N62&gt;0,H62="-"),N62),"")</f>
        <v/>
      </c>
      <c r="Q62" s="265" t="str" cm="1">
        <f t="array" aca="1" ref="Q62" ca="1">_xlfn.IFNA(_xlfn.IFS(T62="Dit kostentype hoeft u niet op te geven. Hiervoor wordt een forfait berekend.","",AND(K62&lt;&gt;"",M62&lt;&gt;"",OR(H62="Uurtarief",H62="Vast tarief")),K62*M62,AND(O62&lt;&gt;"",H62="-"),O62),"")</f>
        <v/>
      </c>
      <c r="R62" s="265"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5"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6" t="str">
        <f>IFERROR(VLOOKUP(F62,Tb_ProjectKosten[#All],11,0),"")</f>
        <v/>
      </c>
      <c r="U62" s="257"/>
    </row>
    <row r="63" spans="1:21" ht="15" customHeight="1" x14ac:dyDescent="0.25">
      <c r="A63" s="258">
        <v>58</v>
      </c>
      <c r="B63" s="259"/>
      <c r="C63" s="259"/>
      <c r="D63" s="259"/>
      <c r="E63" s="259"/>
      <c r="F63" s="259"/>
      <c r="G63" s="260"/>
      <c r="H63" s="261" t="str">
        <f ca="1">IFERROR(IF(VLOOKUP(F63,Kostentypen!$A$3:$E$20,3,0)=0,"",IF(F63="Arbeidskosten",VLOOKUP(G63,Tb_KostenTypen[],2,0),VLOOKUP(F63,Kostentypen!$A$3:$E$20,3,0))),"")</f>
        <v/>
      </c>
      <c r="I63" s="260"/>
      <c r="J63" s="262"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2"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3"/>
      <c r="M63" s="263"/>
      <c r="N63" s="264"/>
      <c r="O63" s="264"/>
      <c r="P63" s="265" t="str" cm="1">
        <f t="array" aca="1" ref="P63" ca="1">_xlfn.IFNA(_xlfn.IFS(T63="Dit kostentype hoeft u niet op te geven. Hiervoor wordt een forfait berekend.","",AND(J63&lt;&gt;"",OR(H63="Uurtarief",H63="Vast tarief")),J63*L63,AND(N63&gt;0,H63="-"),N63),"")</f>
        <v/>
      </c>
      <c r="Q63" s="265" t="str" cm="1">
        <f t="array" aca="1" ref="Q63" ca="1">_xlfn.IFNA(_xlfn.IFS(T63="Dit kostentype hoeft u niet op te geven. Hiervoor wordt een forfait berekend.","",AND(K63&lt;&gt;"",M63&lt;&gt;"",OR(H63="Uurtarief",H63="Vast tarief")),K63*M63,AND(O63&lt;&gt;"",H63="-"),O63),"")</f>
        <v/>
      </c>
      <c r="R63" s="265"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5"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6" t="str">
        <f>IFERROR(VLOOKUP(F63,Tb_ProjectKosten[#All],11,0),"")</f>
        <v/>
      </c>
      <c r="U63" s="257"/>
    </row>
    <row r="64" spans="1:21" ht="15" customHeight="1" x14ac:dyDescent="0.25">
      <c r="A64" s="258">
        <v>59</v>
      </c>
      <c r="B64" s="259"/>
      <c r="C64" s="259"/>
      <c r="D64" s="259"/>
      <c r="E64" s="259"/>
      <c r="F64" s="259"/>
      <c r="G64" s="260"/>
      <c r="H64" s="261" t="str">
        <f ca="1">IFERROR(IF(VLOOKUP(F64,Kostentypen!$A$3:$E$20,3,0)=0,"",IF(F64="Arbeidskosten",VLOOKUP(G64,Tb_KostenTypen[],2,0),VLOOKUP(F64,Kostentypen!$A$3:$E$20,3,0))),"")</f>
        <v/>
      </c>
      <c r="I64" s="260"/>
      <c r="J64" s="262"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2"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3"/>
      <c r="M64" s="263"/>
      <c r="N64" s="264"/>
      <c r="O64" s="264"/>
      <c r="P64" s="265" t="str" cm="1">
        <f t="array" aca="1" ref="P64" ca="1">_xlfn.IFNA(_xlfn.IFS(T64="Dit kostentype hoeft u niet op te geven. Hiervoor wordt een forfait berekend.","",AND(J64&lt;&gt;"",OR(H64="Uurtarief",H64="Vast tarief")),J64*L64,AND(N64&gt;0,H64="-"),N64),"")</f>
        <v/>
      </c>
      <c r="Q64" s="265" t="str" cm="1">
        <f t="array" aca="1" ref="Q64" ca="1">_xlfn.IFNA(_xlfn.IFS(T64="Dit kostentype hoeft u niet op te geven. Hiervoor wordt een forfait berekend.","",AND(K64&lt;&gt;"",M64&lt;&gt;"",OR(H64="Uurtarief",H64="Vast tarief")),K64*M64,AND(O64&lt;&gt;"",H64="-"),O64),"")</f>
        <v/>
      </c>
      <c r="R64" s="265"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5"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6" t="str">
        <f>IFERROR(VLOOKUP(F64,Tb_ProjectKosten[#All],11,0),"")</f>
        <v/>
      </c>
      <c r="U64" s="257"/>
    </row>
    <row r="65" spans="1:21" ht="15" customHeight="1" x14ac:dyDescent="0.25">
      <c r="A65" s="258">
        <v>60</v>
      </c>
      <c r="B65" s="259"/>
      <c r="C65" s="259"/>
      <c r="D65" s="259"/>
      <c r="E65" s="259"/>
      <c r="F65" s="259"/>
      <c r="G65" s="260"/>
      <c r="H65" s="261" t="str">
        <f ca="1">IFERROR(IF(VLOOKUP(F65,Kostentypen!$A$3:$E$20,3,0)=0,"",IF(F65="Arbeidskosten",VLOOKUP(G65,Tb_KostenTypen[],2,0),VLOOKUP(F65,Kostentypen!$A$3:$E$20,3,0))),"")</f>
        <v/>
      </c>
      <c r="I65" s="260"/>
      <c r="J65" s="262"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2"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3"/>
      <c r="M65" s="263"/>
      <c r="N65" s="264"/>
      <c r="O65" s="264"/>
      <c r="P65" s="265" t="str" cm="1">
        <f t="array" aca="1" ref="P65" ca="1">_xlfn.IFNA(_xlfn.IFS(T65="Dit kostentype hoeft u niet op te geven. Hiervoor wordt een forfait berekend.","",AND(J65&lt;&gt;"",OR(H65="Uurtarief",H65="Vast tarief")),J65*L65,AND(N65&gt;0,H65="-"),N65),"")</f>
        <v/>
      </c>
      <c r="Q65" s="265" t="str" cm="1">
        <f t="array" aca="1" ref="Q65" ca="1">_xlfn.IFNA(_xlfn.IFS(T65="Dit kostentype hoeft u niet op te geven. Hiervoor wordt een forfait berekend.","",AND(K65&lt;&gt;"",M65&lt;&gt;"",OR(H65="Uurtarief",H65="Vast tarief")),K65*M65,AND(O65&lt;&gt;"",H65="-"),O65),"")</f>
        <v/>
      </c>
      <c r="R65" s="265"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5"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6" t="str">
        <f>IFERROR(VLOOKUP(F65,Tb_ProjectKosten[#All],11,0),"")</f>
        <v/>
      </c>
      <c r="U65" s="257"/>
    </row>
    <row r="66" spans="1:21" ht="15" customHeight="1" x14ac:dyDescent="0.25">
      <c r="A66" s="258">
        <v>61</v>
      </c>
      <c r="B66" s="259"/>
      <c r="C66" s="259"/>
      <c r="D66" s="259"/>
      <c r="E66" s="259"/>
      <c r="F66" s="259"/>
      <c r="G66" s="260"/>
      <c r="H66" s="261" t="str">
        <f ca="1">IFERROR(IF(VLOOKUP(F66,Kostentypen!$A$3:$E$20,3,0)=0,"",IF(F66="Arbeidskosten",VLOOKUP(G66,Tb_KostenTypen[],2,0),VLOOKUP(F66,Kostentypen!$A$3:$E$20,3,0))),"")</f>
        <v/>
      </c>
      <c r="I66" s="260"/>
      <c r="J66" s="262"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2"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3"/>
      <c r="M66" s="263"/>
      <c r="N66" s="264"/>
      <c r="O66" s="264"/>
      <c r="P66" s="265" t="str" cm="1">
        <f t="array" aca="1" ref="P66" ca="1">_xlfn.IFNA(_xlfn.IFS(T66="Dit kostentype hoeft u niet op te geven. Hiervoor wordt een forfait berekend.","",AND(J66&lt;&gt;"",OR(H66="Uurtarief",H66="Vast tarief")),J66*L66,AND(N66&gt;0,H66="-"),N66),"")</f>
        <v/>
      </c>
      <c r="Q66" s="265" t="str" cm="1">
        <f t="array" aca="1" ref="Q66" ca="1">_xlfn.IFNA(_xlfn.IFS(T66="Dit kostentype hoeft u niet op te geven. Hiervoor wordt een forfait berekend.","",AND(K66&lt;&gt;"",M66&lt;&gt;"",OR(H66="Uurtarief",H66="Vast tarief")),K66*M66,AND(O66&lt;&gt;"",H66="-"),O66),"")</f>
        <v/>
      </c>
      <c r="R66" s="265"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5"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6" t="str">
        <f>IFERROR(VLOOKUP(F66,Tb_ProjectKosten[#All],11,0),"")</f>
        <v/>
      </c>
      <c r="U66" s="257"/>
    </row>
    <row r="67" spans="1:21" ht="15" customHeight="1" x14ac:dyDescent="0.25">
      <c r="A67" s="258">
        <v>62</v>
      </c>
      <c r="B67" s="259"/>
      <c r="C67" s="259"/>
      <c r="D67" s="259"/>
      <c r="E67" s="259"/>
      <c r="F67" s="259"/>
      <c r="G67" s="260"/>
      <c r="H67" s="261" t="str">
        <f ca="1">IFERROR(IF(VLOOKUP(F67,Kostentypen!$A$3:$E$20,3,0)=0,"",IF(F67="Arbeidskosten",VLOOKUP(G67,Tb_KostenTypen[],2,0),VLOOKUP(F67,Kostentypen!$A$3:$E$20,3,0))),"")</f>
        <v/>
      </c>
      <c r="I67" s="260"/>
      <c r="J67" s="262"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2"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3"/>
      <c r="M67" s="263"/>
      <c r="N67" s="264"/>
      <c r="O67" s="264"/>
      <c r="P67" s="265" t="str" cm="1">
        <f t="array" aca="1" ref="P67" ca="1">_xlfn.IFNA(_xlfn.IFS(T67="Dit kostentype hoeft u niet op te geven. Hiervoor wordt een forfait berekend.","",AND(J67&lt;&gt;"",OR(H67="Uurtarief",H67="Vast tarief")),J67*L67,AND(N67&gt;0,H67="-"),N67),"")</f>
        <v/>
      </c>
      <c r="Q67" s="265" t="str" cm="1">
        <f t="array" aca="1" ref="Q67" ca="1">_xlfn.IFNA(_xlfn.IFS(T67="Dit kostentype hoeft u niet op te geven. Hiervoor wordt een forfait berekend.","",AND(K67&lt;&gt;"",M67&lt;&gt;"",OR(H67="Uurtarief",H67="Vast tarief")),K67*M67,AND(O67&lt;&gt;"",H67="-"),O67),"")</f>
        <v/>
      </c>
      <c r="R67" s="265"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5"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6" t="str">
        <f>IFERROR(VLOOKUP(F67,Tb_ProjectKosten[#All],11,0),"")</f>
        <v/>
      </c>
      <c r="U67" s="257"/>
    </row>
    <row r="68" spans="1:21" ht="15" customHeight="1" x14ac:dyDescent="0.25">
      <c r="A68" s="258">
        <v>63</v>
      </c>
      <c r="B68" s="259"/>
      <c r="C68" s="259"/>
      <c r="D68" s="259"/>
      <c r="E68" s="259"/>
      <c r="F68" s="259"/>
      <c r="G68" s="260"/>
      <c r="H68" s="261" t="str">
        <f ca="1">IFERROR(IF(VLOOKUP(F68,Kostentypen!$A$3:$E$20,3,0)=0,"",IF(F68="Arbeidskosten",VLOOKUP(G68,Tb_KostenTypen[],2,0),VLOOKUP(F68,Kostentypen!$A$3:$E$20,3,0))),"")</f>
        <v/>
      </c>
      <c r="I68" s="260"/>
      <c r="J68" s="262"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2"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3"/>
      <c r="M68" s="263"/>
      <c r="N68" s="264"/>
      <c r="O68" s="264"/>
      <c r="P68" s="265" t="str" cm="1">
        <f t="array" aca="1" ref="P68" ca="1">_xlfn.IFNA(_xlfn.IFS(T68="Dit kostentype hoeft u niet op te geven. Hiervoor wordt een forfait berekend.","",AND(J68&lt;&gt;"",OR(H68="Uurtarief",H68="Vast tarief")),J68*L68,AND(N68&gt;0,H68="-"),N68),"")</f>
        <v/>
      </c>
      <c r="Q68" s="265" t="str" cm="1">
        <f t="array" aca="1" ref="Q68" ca="1">_xlfn.IFNA(_xlfn.IFS(T68="Dit kostentype hoeft u niet op te geven. Hiervoor wordt een forfait berekend.","",AND(K68&lt;&gt;"",M68&lt;&gt;"",OR(H68="Uurtarief",H68="Vast tarief")),K68*M68,AND(O68&lt;&gt;"",H68="-"),O68),"")</f>
        <v/>
      </c>
      <c r="R68" s="265"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5"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6" t="str">
        <f>IFERROR(VLOOKUP(F68,Tb_ProjectKosten[#All],11,0),"")</f>
        <v/>
      </c>
      <c r="U68" s="257"/>
    </row>
    <row r="69" spans="1:21" ht="15" customHeight="1" x14ac:dyDescent="0.25">
      <c r="A69" s="258">
        <v>64</v>
      </c>
      <c r="B69" s="259"/>
      <c r="C69" s="259"/>
      <c r="D69" s="259"/>
      <c r="E69" s="259"/>
      <c r="F69" s="259"/>
      <c r="G69" s="260"/>
      <c r="H69" s="261" t="str">
        <f ca="1">IFERROR(IF(VLOOKUP(F69,Kostentypen!$A$3:$E$20,3,0)=0,"",IF(F69="Arbeidskosten",VLOOKUP(G69,Tb_KostenTypen[],2,0),VLOOKUP(F69,Kostentypen!$A$3:$E$20,3,0))),"")</f>
        <v/>
      </c>
      <c r="I69" s="260"/>
      <c r="J69" s="262"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2"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3"/>
      <c r="M69" s="263"/>
      <c r="N69" s="264"/>
      <c r="O69" s="264"/>
      <c r="P69" s="265" t="str" cm="1">
        <f t="array" aca="1" ref="P69" ca="1">_xlfn.IFNA(_xlfn.IFS(T69="Dit kostentype hoeft u niet op te geven. Hiervoor wordt een forfait berekend.","",AND(J69&lt;&gt;"",OR(H69="Uurtarief",H69="Vast tarief")),J69*L69,AND(N69&gt;0,H69="-"),N69),"")</f>
        <v/>
      </c>
      <c r="Q69" s="265" t="str" cm="1">
        <f t="array" aca="1" ref="Q69" ca="1">_xlfn.IFNA(_xlfn.IFS(T69="Dit kostentype hoeft u niet op te geven. Hiervoor wordt een forfait berekend.","",AND(K69&lt;&gt;"",M69&lt;&gt;"",OR(H69="Uurtarief",H69="Vast tarief")),K69*M69,AND(O69&lt;&gt;"",H69="-"),O69),"")</f>
        <v/>
      </c>
      <c r="R69" s="265"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5"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6" t="str">
        <f>IFERROR(VLOOKUP(F69,Tb_ProjectKosten[#All],11,0),"")</f>
        <v/>
      </c>
      <c r="U69" s="257"/>
    </row>
    <row r="70" spans="1:21" ht="15" customHeight="1" x14ac:dyDescent="0.25">
      <c r="A70" s="258">
        <v>65</v>
      </c>
      <c r="B70" s="259"/>
      <c r="C70" s="259"/>
      <c r="D70" s="259"/>
      <c r="E70" s="259"/>
      <c r="F70" s="259"/>
      <c r="G70" s="260"/>
      <c r="H70" s="261" t="str">
        <f ca="1">IFERROR(IF(VLOOKUP(F70,Kostentypen!$A$3:$E$20,3,0)=0,"",IF(F70="Arbeidskosten",VLOOKUP(G70,Tb_KostenTypen[],2,0),VLOOKUP(F70,Kostentypen!$A$3:$E$20,3,0))),"")</f>
        <v/>
      </c>
      <c r="I70" s="260"/>
      <c r="J70" s="262"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2"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3"/>
      <c r="M70" s="263"/>
      <c r="N70" s="264"/>
      <c r="O70" s="264"/>
      <c r="P70" s="265" t="str" cm="1">
        <f t="array" aca="1" ref="P70" ca="1">_xlfn.IFNA(_xlfn.IFS(T70="Dit kostentype hoeft u niet op te geven. Hiervoor wordt een forfait berekend.","",AND(J70&lt;&gt;"",OR(H70="Uurtarief",H70="Vast tarief")),J70*L70,AND(N70&gt;0,H70="-"),N70),"")</f>
        <v/>
      </c>
      <c r="Q70" s="265" t="str" cm="1">
        <f t="array" aca="1" ref="Q70" ca="1">_xlfn.IFNA(_xlfn.IFS(T70="Dit kostentype hoeft u niet op te geven. Hiervoor wordt een forfait berekend.","",AND(K70&lt;&gt;"",M70&lt;&gt;"",OR(H70="Uurtarief",H70="Vast tarief")),K70*M70,AND(O70&lt;&gt;"",H70="-"),O70),"")</f>
        <v/>
      </c>
      <c r="R70" s="265"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5"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6" t="str">
        <f>IFERROR(VLOOKUP(F70,Tb_ProjectKosten[#All],11,0),"")</f>
        <v/>
      </c>
      <c r="U70" s="257"/>
    </row>
    <row r="71" spans="1:21" ht="15" customHeight="1" x14ac:dyDescent="0.25">
      <c r="A71" s="258">
        <v>66</v>
      </c>
      <c r="B71" s="259"/>
      <c r="C71" s="259"/>
      <c r="D71" s="259"/>
      <c r="E71" s="259"/>
      <c r="F71" s="259"/>
      <c r="G71" s="260"/>
      <c r="H71" s="261" t="str">
        <f ca="1">IFERROR(IF(VLOOKUP(F71,Kostentypen!$A$3:$E$20,3,0)=0,"",IF(F71="Arbeidskosten",VLOOKUP(G71,Tb_KostenTypen[],2,0),VLOOKUP(F71,Kostentypen!$A$3:$E$20,3,0))),"")</f>
        <v/>
      </c>
      <c r="I71" s="260"/>
      <c r="J71" s="262"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2"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3"/>
      <c r="M71" s="263"/>
      <c r="N71" s="264"/>
      <c r="O71" s="264"/>
      <c r="P71" s="265" t="str" cm="1">
        <f t="array" aca="1" ref="P71" ca="1">_xlfn.IFNA(_xlfn.IFS(T71="Dit kostentype hoeft u niet op te geven. Hiervoor wordt een forfait berekend.","",AND(J71&lt;&gt;"",OR(H71="Uurtarief",H71="Vast tarief")),J71*L71,AND(N71&gt;0,H71="-"),N71),"")</f>
        <v/>
      </c>
      <c r="Q71" s="265" t="str" cm="1">
        <f t="array" aca="1" ref="Q71" ca="1">_xlfn.IFNA(_xlfn.IFS(T71="Dit kostentype hoeft u niet op te geven. Hiervoor wordt een forfait berekend.","",AND(K71&lt;&gt;"",M71&lt;&gt;"",OR(H71="Uurtarief",H71="Vast tarief")),K71*M71,AND(O71&lt;&gt;"",H71="-"),O71),"")</f>
        <v/>
      </c>
      <c r="R71" s="265"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5"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6" t="str">
        <f>IFERROR(VLOOKUP(F71,Tb_ProjectKosten[#All],11,0),"")</f>
        <v/>
      </c>
      <c r="U71" s="257"/>
    </row>
    <row r="72" spans="1:21" ht="15" customHeight="1" x14ac:dyDescent="0.25">
      <c r="A72" s="258">
        <v>67</v>
      </c>
      <c r="B72" s="259"/>
      <c r="C72" s="259"/>
      <c r="D72" s="259"/>
      <c r="E72" s="259"/>
      <c r="F72" s="259"/>
      <c r="G72" s="260"/>
      <c r="H72" s="261" t="str">
        <f ca="1">IFERROR(IF(VLOOKUP(F72,Kostentypen!$A$3:$E$20,3,0)=0,"",IF(F72="Arbeidskosten",VLOOKUP(G72,Tb_KostenTypen[],2,0),VLOOKUP(F72,Kostentypen!$A$3:$E$20,3,0))),"")</f>
        <v/>
      </c>
      <c r="I72" s="260"/>
      <c r="J72" s="262"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2"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3"/>
      <c r="M72" s="263"/>
      <c r="N72" s="264"/>
      <c r="O72" s="264"/>
      <c r="P72" s="265" t="str" cm="1">
        <f t="array" aca="1" ref="P72" ca="1">_xlfn.IFNA(_xlfn.IFS(T72="Dit kostentype hoeft u niet op te geven. Hiervoor wordt een forfait berekend.","",AND(J72&lt;&gt;"",OR(H72="Uurtarief",H72="Vast tarief")),J72*L72,AND(N72&gt;0,H72="-"),N72),"")</f>
        <v/>
      </c>
      <c r="Q72" s="265" t="str" cm="1">
        <f t="array" aca="1" ref="Q72" ca="1">_xlfn.IFNA(_xlfn.IFS(T72="Dit kostentype hoeft u niet op te geven. Hiervoor wordt een forfait berekend.","",AND(K72&lt;&gt;"",M72&lt;&gt;"",OR(H72="Uurtarief",H72="Vast tarief")),K72*M72,AND(O72&lt;&gt;"",H72="-"),O72),"")</f>
        <v/>
      </c>
      <c r="R72" s="265"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5"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6" t="str">
        <f>IFERROR(VLOOKUP(F72,Tb_ProjectKosten[#All],11,0),"")</f>
        <v/>
      </c>
      <c r="U72" s="257"/>
    </row>
    <row r="73" spans="1:21" ht="15" customHeight="1" x14ac:dyDescent="0.25">
      <c r="A73" s="258">
        <v>68</v>
      </c>
      <c r="B73" s="259"/>
      <c r="C73" s="259"/>
      <c r="D73" s="259"/>
      <c r="E73" s="259"/>
      <c r="F73" s="259"/>
      <c r="G73" s="260"/>
      <c r="H73" s="261" t="str">
        <f ca="1">IFERROR(IF(VLOOKUP(F73,Kostentypen!$A$3:$E$20,3,0)=0,"",IF(F73="Arbeidskosten",VLOOKUP(G73,Tb_KostenTypen[],2,0),VLOOKUP(F73,Kostentypen!$A$3:$E$20,3,0))),"")</f>
        <v/>
      </c>
      <c r="I73" s="260"/>
      <c r="J73" s="262"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2"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3"/>
      <c r="M73" s="263"/>
      <c r="N73" s="264"/>
      <c r="O73" s="264"/>
      <c r="P73" s="265" t="str" cm="1">
        <f t="array" aca="1" ref="P73" ca="1">_xlfn.IFNA(_xlfn.IFS(T73="Dit kostentype hoeft u niet op te geven. Hiervoor wordt een forfait berekend.","",AND(J73&lt;&gt;"",OR(H73="Uurtarief",H73="Vast tarief")),J73*L73,AND(N73&gt;0,H73="-"),N73),"")</f>
        <v/>
      </c>
      <c r="Q73" s="265" t="str" cm="1">
        <f t="array" aca="1" ref="Q73" ca="1">_xlfn.IFNA(_xlfn.IFS(T73="Dit kostentype hoeft u niet op te geven. Hiervoor wordt een forfait berekend.","",AND(K73&lt;&gt;"",M73&lt;&gt;"",OR(H73="Uurtarief",H73="Vast tarief")),K73*M73,AND(O73&lt;&gt;"",H73="-"),O73),"")</f>
        <v/>
      </c>
      <c r="R73" s="265"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5"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6" t="str">
        <f>IFERROR(VLOOKUP(F73,Tb_ProjectKosten[#All],11,0),"")</f>
        <v/>
      </c>
      <c r="U73" s="257"/>
    </row>
    <row r="74" spans="1:21" ht="15" customHeight="1" x14ac:dyDescent="0.25">
      <c r="A74" s="258">
        <v>69</v>
      </c>
      <c r="B74" s="259"/>
      <c r="C74" s="259"/>
      <c r="D74" s="259"/>
      <c r="E74" s="259"/>
      <c r="F74" s="259"/>
      <c r="G74" s="260"/>
      <c r="H74" s="261" t="str">
        <f ca="1">IFERROR(IF(VLOOKUP(F74,Kostentypen!$A$3:$E$20,3,0)=0,"",IF(F74="Arbeidskosten",VLOOKUP(G74,Tb_KostenTypen[],2,0),VLOOKUP(F74,Kostentypen!$A$3:$E$20,3,0))),"")</f>
        <v/>
      </c>
      <c r="I74" s="260"/>
      <c r="J74" s="262"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2"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3"/>
      <c r="M74" s="263"/>
      <c r="N74" s="264"/>
      <c r="O74" s="264"/>
      <c r="P74" s="265" t="str" cm="1">
        <f t="array" aca="1" ref="P74" ca="1">_xlfn.IFNA(_xlfn.IFS(T74="Dit kostentype hoeft u niet op te geven. Hiervoor wordt een forfait berekend.","",AND(J74&lt;&gt;"",OR(H74="Uurtarief",H74="Vast tarief")),J74*L74,AND(N74&gt;0,H74="-"),N74),"")</f>
        <v/>
      </c>
      <c r="Q74" s="265" t="str" cm="1">
        <f t="array" aca="1" ref="Q74" ca="1">_xlfn.IFNA(_xlfn.IFS(T74="Dit kostentype hoeft u niet op te geven. Hiervoor wordt een forfait berekend.","",AND(K74&lt;&gt;"",M74&lt;&gt;"",OR(H74="Uurtarief",H74="Vast tarief")),K74*M74,AND(O74&lt;&gt;"",H74="-"),O74),"")</f>
        <v/>
      </c>
      <c r="R74" s="265"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5"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6" t="str">
        <f>IFERROR(VLOOKUP(F74,Tb_ProjectKosten[#All],11,0),"")</f>
        <v/>
      </c>
      <c r="U74" s="257"/>
    </row>
    <row r="75" spans="1:21" ht="15" customHeight="1" x14ac:dyDescent="0.25">
      <c r="A75" s="258">
        <v>70</v>
      </c>
      <c r="B75" s="259"/>
      <c r="C75" s="259"/>
      <c r="D75" s="259"/>
      <c r="E75" s="259"/>
      <c r="F75" s="259"/>
      <c r="G75" s="260"/>
      <c r="H75" s="261" t="str">
        <f ca="1">IFERROR(IF(VLOOKUP(F75,Kostentypen!$A$3:$E$20,3,0)=0,"",IF(F75="Arbeidskosten",VLOOKUP(G75,Tb_KostenTypen[],2,0),VLOOKUP(F75,Kostentypen!$A$3:$E$20,3,0))),"")</f>
        <v/>
      </c>
      <c r="I75" s="260"/>
      <c r="J75" s="262"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2"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3"/>
      <c r="M75" s="263"/>
      <c r="N75" s="264"/>
      <c r="O75" s="264"/>
      <c r="P75" s="265" t="str" cm="1">
        <f t="array" aca="1" ref="P75" ca="1">_xlfn.IFNA(_xlfn.IFS(T75="Dit kostentype hoeft u niet op te geven. Hiervoor wordt een forfait berekend.","",AND(J75&lt;&gt;"",OR(H75="Uurtarief",H75="Vast tarief")),J75*L75,AND(N75&gt;0,H75="-"),N75),"")</f>
        <v/>
      </c>
      <c r="Q75" s="265" t="str" cm="1">
        <f t="array" aca="1" ref="Q75" ca="1">_xlfn.IFNA(_xlfn.IFS(T75="Dit kostentype hoeft u niet op te geven. Hiervoor wordt een forfait berekend.","",AND(K75&lt;&gt;"",M75&lt;&gt;"",OR(H75="Uurtarief",H75="Vast tarief")),K75*M75,AND(O75&lt;&gt;"",H75="-"),O75),"")</f>
        <v/>
      </c>
      <c r="R75" s="265"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5"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6" t="str">
        <f>IFERROR(VLOOKUP(F75,Tb_ProjectKosten[#All],11,0),"")</f>
        <v/>
      </c>
      <c r="U75" s="257"/>
    </row>
    <row r="76" spans="1:21" ht="15" customHeight="1" x14ac:dyDescent="0.25">
      <c r="A76" s="258">
        <v>71</v>
      </c>
      <c r="B76" s="259"/>
      <c r="C76" s="259"/>
      <c r="D76" s="259"/>
      <c r="E76" s="259"/>
      <c r="F76" s="259"/>
      <c r="G76" s="260"/>
      <c r="H76" s="261" t="str">
        <f ca="1">IFERROR(IF(VLOOKUP(F76,Kostentypen!$A$3:$E$20,3,0)=0,"",IF(F76="Arbeidskosten",VLOOKUP(G76,Tb_KostenTypen[],2,0),VLOOKUP(F76,Kostentypen!$A$3:$E$20,3,0))),"")</f>
        <v/>
      </c>
      <c r="I76" s="260"/>
      <c r="J76" s="262"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2"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3"/>
      <c r="M76" s="263"/>
      <c r="N76" s="264"/>
      <c r="O76" s="264"/>
      <c r="P76" s="265" t="str" cm="1">
        <f t="array" aca="1" ref="P76" ca="1">_xlfn.IFNA(_xlfn.IFS(T76="Dit kostentype hoeft u niet op te geven. Hiervoor wordt een forfait berekend.","",AND(J76&lt;&gt;"",OR(H76="Uurtarief",H76="Vast tarief")),J76*L76,AND(N76&gt;0,H76="-"),N76),"")</f>
        <v/>
      </c>
      <c r="Q76" s="265" t="str" cm="1">
        <f t="array" aca="1" ref="Q76" ca="1">_xlfn.IFNA(_xlfn.IFS(T76="Dit kostentype hoeft u niet op te geven. Hiervoor wordt een forfait berekend.","",AND(K76&lt;&gt;"",M76&lt;&gt;"",OR(H76="Uurtarief",H76="Vast tarief")),K76*M76,AND(O76&lt;&gt;"",H76="-"),O76),"")</f>
        <v/>
      </c>
      <c r="R76" s="265"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5"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6" t="str">
        <f>IFERROR(VLOOKUP(F76,Tb_ProjectKosten[#All],11,0),"")</f>
        <v/>
      </c>
      <c r="U76" s="257"/>
    </row>
    <row r="77" spans="1:21" ht="15" customHeight="1" x14ac:dyDescent="0.25">
      <c r="A77" s="258">
        <v>72</v>
      </c>
      <c r="B77" s="259"/>
      <c r="C77" s="259"/>
      <c r="D77" s="259"/>
      <c r="E77" s="259"/>
      <c r="F77" s="259"/>
      <c r="G77" s="260"/>
      <c r="H77" s="261" t="str">
        <f ca="1">IFERROR(IF(VLOOKUP(F77,Kostentypen!$A$3:$E$20,3,0)=0,"",IF(F77="Arbeidskosten",VLOOKUP(G77,Tb_KostenTypen[],2,0),VLOOKUP(F77,Kostentypen!$A$3:$E$20,3,0))),"")</f>
        <v/>
      </c>
      <c r="I77" s="260"/>
      <c r="J77" s="262"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2"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3"/>
      <c r="M77" s="263"/>
      <c r="N77" s="264"/>
      <c r="O77" s="264"/>
      <c r="P77" s="265" t="str" cm="1">
        <f t="array" aca="1" ref="P77" ca="1">_xlfn.IFNA(_xlfn.IFS(T77="Dit kostentype hoeft u niet op te geven. Hiervoor wordt een forfait berekend.","",AND(J77&lt;&gt;"",OR(H77="Uurtarief",H77="Vast tarief")),J77*L77,AND(N77&gt;0,H77="-"),N77),"")</f>
        <v/>
      </c>
      <c r="Q77" s="265" t="str" cm="1">
        <f t="array" aca="1" ref="Q77" ca="1">_xlfn.IFNA(_xlfn.IFS(T77="Dit kostentype hoeft u niet op te geven. Hiervoor wordt een forfait berekend.","",AND(K77&lt;&gt;"",M77&lt;&gt;"",OR(H77="Uurtarief",H77="Vast tarief")),K77*M77,AND(O77&lt;&gt;"",H77="-"),O77),"")</f>
        <v/>
      </c>
      <c r="R77" s="265"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5"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6" t="str">
        <f>IFERROR(VLOOKUP(F77,Tb_ProjectKosten[#All],11,0),"")</f>
        <v/>
      </c>
      <c r="U77" s="257"/>
    </row>
    <row r="78" spans="1:21" ht="15" customHeight="1" x14ac:dyDescent="0.25">
      <c r="A78" s="258">
        <v>73</v>
      </c>
      <c r="B78" s="259"/>
      <c r="C78" s="259"/>
      <c r="D78" s="259"/>
      <c r="E78" s="259"/>
      <c r="F78" s="259"/>
      <c r="G78" s="260"/>
      <c r="H78" s="261" t="str">
        <f ca="1">IFERROR(IF(VLOOKUP(F78,Kostentypen!$A$3:$E$20,3,0)=0,"",IF(F78="Arbeidskosten",VLOOKUP(G78,Tb_KostenTypen[],2,0),VLOOKUP(F78,Kostentypen!$A$3:$E$20,3,0))),"")</f>
        <v/>
      </c>
      <c r="I78" s="260"/>
      <c r="J78" s="262"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2"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3"/>
      <c r="M78" s="263"/>
      <c r="N78" s="264"/>
      <c r="O78" s="264"/>
      <c r="P78" s="265" t="str" cm="1">
        <f t="array" aca="1" ref="P78" ca="1">_xlfn.IFNA(_xlfn.IFS(T78="Dit kostentype hoeft u niet op te geven. Hiervoor wordt een forfait berekend.","",AND(J78&lt;&gt;"",OR(H78="Uurtarief",H78="Vast tarief")),J78*L78,AND(N78&gt;0,H78="-"),N78),"")</f>
        <v/>
      </c>
      <c r="Q78" s="265" t="str" cm="1">
        <f t="array" aca="1" ref="Q78" ca="1">_xlfn.IFNA(_xlfn.IFS(T78="Dit kostentype hoeft u niet op te geven. Hiervoor wordt een forfait berekend.","",AND(K78&lt;&gt;"",M78&lt;&gt;"",OR(H78="Uurtarief",H78="Vast tarief")),K78*M78,AND(O78&lt;&gt;"",H78="-"),O78),"")</f>
        <v/>
      </c>
      <c r="R78" s="265"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5"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6" t="str">
        <f>IFERROR(VLOOKUP(F78,Tb_ProjectKosten[#All],11,0),"")</f>
        <v/>
      </c>
      <c r="U78" s="257"/>
    </row>
    <row r="79" spans="1:21" ht="15" customHeight="1" x14ac:dyDescent="0.25">
      <c r="A79" s="258">
        <v>74</v>
      </c>
      <c r="B79" s="259"/>
      <c r="C79" s="259"/>
      <c r="D79" s="259"/>
      <c r="E79" s="259"/>
      <c r="F79" s="259"/>
      <c r="G79" s="260"/>
      <c r="H79" s="261" t="str">
        <f ca="1">IFERROR(IF(VLOOKUP(F79,Kostentypen!$A$3:$E$20,3,0)=0,"",IF(F79="Arbeidskosten",VLOOKUP(G79,Tb_KostenTypen[],2,0),VLOOKUP(F79,Kostentypen!$A$3:$E$20,3,0))),"")</f>
        <v/>
      </c>
      <c r="I79" s="260"/>
      <c r="J79" s="262"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2"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3"/>
      <c r="M79" s="263"/>
      <c r="N79" s="264"/>
      <c r="O79" s="264"/>
      <c r="P79" s="265" t="str" cm="1">
        <f t="array" aca="1" ref="P79" ca="1">_xlfn.IFNA(_xlfn.IFS(T79="Dit kostentype hoeft u niet op te geven. Hiervoor wordt een forfait berekend.","",AND(J79&lt;&gt;"",OR(H79="Uurtarief",H79="Vast tarief")),J79*L79,AND(N79&gt;0,H79="-"),N79),"")</f>
        <v/>
      </c>
      <c r="Q79" s="265" t="str" cm="1">
        <f t="array" aca="1" ref="Q79" ca="1">_xlfn.IFNA(_xlfn.IFS(T79="Dit kostentype hoeft u niet op te geven. Hiervoor wordt een forfait berekend.","",AND(K79&lt;&gt;"",M79&lt;&gt;"",OR(H79="Uurtarief",H79="Vast tarief")),K79*M79,AND(O79&lt;&gt;"",H79="-"),O79),"")</f>
        <v/>
      </c>
      <c r="R79" s="265"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5"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6" t="str">
        <f>IFERROR(VLOOKUP(F79,Tb_ProjectKosten[#All],11,0),"")</f>
        <v/>
      </c>
      <c r="U79" s="257"/>
    </row>
    <row r="80" spans="1:21" ht="15" customHeight="1" x14ac:dyDescent="0.25">
      <c r="A80" s="258">
        <v>75</v>
      </c>
      <c r="B80" s="259"/>
      <c r="C80" s="259"/>
      <c r="D80" s="259"/>
      <c r="E80" s="259"/>
      <c r="F80" s="259"/>
      <c r="G80" s="260"/>
      <c r="H80" s="261" t="str">
        <f ca="1">IFERROR(IF(VLOOKUP(F80,Kostentypen!$A$3:$E$20,3,0)=0,"",IF(F80="Arbeidskosten",VLOOKUP(G80,Tb_KostenTypen[],2,0),VLOOKUP(F80,Kostentypen!$A$3:$E$20,3,0))),"")</f>
        <v/>
      </c>
      <c r="I80" s="260"/>
      <c r="J80" s="262"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2"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3"/>
      <c r="M80" s="263"/>
      <c r="N80" s="264"/>
      <c r="O80" s="264"/>
      <c r="P80" s="265" t="str" cm="1">
        <f t="array" aca="1" ref="P80" ca="1">_xlfn.IFNA(_xlfn.IFS(T80="Dit kostentype hoeft u niet op te geven. Hiervoor wordt een forfait berekend.","",AND(J80&lt;&gt;"",OR(H80="Uurtarief",H80="Vast tarief")),J80*L80,AND(N80&gt;0,H80="-"),N80),"")</f>
        <v/>
      </c>
      <c r="Q80" s="265" t="str" cm="1">
        <f t="array" aca="1" ref="Q80" ca="1">_xlfn.IFNA(_xlfn.IFS(T80="Dit kostentype hoeft u niet op te geven. Hiervoor wordt een forfait berekend.","",AND(K80&lt;&gt;"",M80&lt;&gt;"",OR(H80="Uurtarief",H80="Vast tarief")),K80*M80,AND(O80&lt;&gt;"",H80="-"),O80),"")</f>
        <v/>
      </c>
      <c r="R80" s="265"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5"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6" t="str">
        <f>IFERROR(VLOOKUP(F80,Tb_ProjectKosten[#All],11,0),"")</f>
        <v/>
      </c>
      <c r="U80" s="257"/>
    </row>
    <row r="81" spans="1:21" ht="15" customHeight="1" x14ac:dyDescent="0.25">
      <c r="A81" s="258">
        <v>76</v>
      </c>
      <c r="B81" s="259"/>
      <c r="C81" s="259"/>
      <c r="D81" s="259"/>
      <c r="E81" s="259"/>
      <c r="F81" s="259"/>
      <c r="G81" s="260"/>
      <c r="H81" s="261" t="str">
        <f ca="1">IFERROR(IF(VLOOKUP(F81,Kostentypen!$A$3:$E$20,3,0)=0,"",IF(F81="Arbeidskosten",VLOOKUP(G81,Tb_KostenTypen[],2,0),VLOOKUP(F81,Kostentypen!$A$3:$E$20,3,0))),"")</f>
        <v/>
      </c>
      <c r="I81" s="260"/>
      <c r="J81" s="262"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2"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3"/>
      <c r="M81" s="263"/>
      <c r="N81" s="264"/>
      <c r="O81" s="264"/>
      <c r="P81" s="265" t="str" cm="1">
        <f t="array" aca="1" ref="P81" ca="1">_xlfn.IFNA(_xlfn.IFS(T81="Dit kostentype hoeft u niet op te geven. Hiervoor wordt een forfait berekend.","",AND(J81&lt;&gt;"",OR(H81="Uurtarief",H81="Vast tarief")),J81*L81,AND(N81&gt;0,H81="-"),N81),"")</f>
        <v/>
      </c>
      <c r="Q81" s="265" t="str" cm="1">
        <f t="array" aca="1" ref="Q81" ca="1">_xlfn.IFNA(_xlfn.IFS(T81="Dit kostentype hoeft u niet op te geven. Hiervoor wordt een forfait berekend.","",AND(K81&lt;&gt;"",M81&lt;&gt;"",OR(H81="Uurtarief",H81="Vast tarief")),K81*M81,AND(O81&lt;&gt;"",H81="-"),O81),"")</f>
        <v/>
      </c>
      <c r="R81" s="265"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5"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6" t="str">
        <f>IFERROR(VLOOKUP(F81,Tb_ProjectKosten[#All],11,0),"")</f>
        <v/>
      </c>
      <c r="U81" s="257"/>
    </row>
    <row r="82" spans="1:21" ht="15" customHeight="1" x14ac:dyDescent="0.25">
      <c r="A82" s="258">
        <v>77</v>
      </c>
      <c r="B82" s="259"/>
      <c r="C82" s="259"/>
      <c r="D82" s="259"/>
      <c r="E82" s="259"/>
      <c r="F82" s="259"/>
      <c r="G82" s="260"/>
      <c r="H82" s="261" t="str">
        <f ca="1">IFERROR(IF(VLOOKUP(F82,Kostentypen!$A$3:$E$20,3,0)=0,"",IF(F82="Arbeidskosten",VLOOKUP(G82,Tb_KostenTypen[],2,0),VLOOKUP(F82,Kostentypen!$A$3:$E$20,3,0))),"")</f>
        <v/>
      </c>
      <c r="I82" s="260"/>
      <c r="J82" s="262"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2"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3"/>
      <c r="M82" s="263"/>
      <c r="N82" s="264"/>
      <c r="O82" s="264"/>
      <c r="P82" s="265" t="str" cm="1">
        <f t="array" aca="1" ref="P82" ca="1">_xlfn.IFNA(_xlfn.IFS(T82="Dit kostentype hoeft u niet op te geven. Hiervoor wordt een forfait berekend.","",AND(J82&lt;&gt;"",OR(H82="Uurtarief",H82="Vast tarief")),J82*L82,AND(N82&gt;0,H82="-"),N82),"")</f>
        <v/>
      </c>
      <c r="Q82" s="265" t="str" cm="1">
        <f t="array" aca="1" ref="Q82" ca="1">_xlfn.IFNA(_xlfn.IFS(T82="Dit kostentype hoeft u niet op te geven. Hiervoor wordt een forfait berekend.","",AND(K82&lt;&gt;"",M82&lt;&gt;"",OR(H82="Uurtarief",H82="Vast tarief")),K82*M82,AND(O82&lt;&gt;"",H82="-"),O82),"")</f>
        <v/>
      </c>
      <c r="R82" s="265"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5"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6" t="str">
        <f>IFERROR(VLOOKUP(F82,Tb_ProjectKosten[#All],11,0),"")</f>
        <v/>
      </c>
      <c r="U82" s="257"/>
    </row>
    <row r="83" spans="1:21" ht="15" customHeight="1" x14ac:dyDescent="0.25">
      <c r="A83" s="258">
        <v>78</v>
      </c>
      <c r="B83" s="259"/>
      <c r="C83" s="259"/>
      <c r="D83" s="259"/>
      <c r="E83" s="259"/>
      <c r="F83" s="259"/>
      <c r="G83" s="260"/>
      <c r="H83" s="261" t="str">
        <f ca="1">IFERROR(IF(VLOOKUP(F83,Kostentypen!$A$3:$E$20,3,0)=0,"",IF(F83="Arbeidskosten",VLOOKUP(G83,Tb_KostenTypen[],2,0),VLOOKUP(F83,Kostentypen!$A$3:$E$20,3,0))),"")</f>
        <v/>
      </c>
      <c r="I83" s="260"/>
      <c r="J83" s="262"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2"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3"/>
      <c r="M83" s="263"/>
      <c r="N83" s="264"/>
      <c r="O83" s="264"/>
      <c r="P83" s="265" t="str" cm="1">
        <f t="array" aca="1" ref="P83" ca="1">_xlfn.IFNA(_xlfn.IFS(T83="Dit kostentype hoeft u niet op te geven. Hiervoor wordt een forfait berekend.","",AND(J83&lt;&gt;"",OR(H83="Uurtarief",H83="Vast tarief")),J83*L83,AND(N83&gt;0,H83="-"),N83),"")</f>
        <v/>
      </c>
      <c r="Q83" s="265" t="str" cm="1">
        <f t="array" aca="1" ref="Q83" ca="1">_xlfn.IFNA(_xlfn.IFS(T83="Dit kostentype hoeft u niet op te geven. Hiervoor wordt een forfait berekend.","",AND(K83&lt;&gt;"",M83&lt;&gt;"",OR(H83="Uurtarief",H83="Vast tarief")),K83*M83,AND(O83&lt;&gt;"",H83="-"),O83),"")</f>
        <v/>
      </c>
      <c r="R83" s="265"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5"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6" t="str">
        <f>IFERROR(VLOOKUP(F83,Tb_ProjectKosten[#All],11,0),"")</f>
        <v/>
      </c>
      <c r="U83" s="257"/>
    </row>
    <row r="84" spans="1:21" ht="15" customHeight="1" x14ac:dyDescent="0.25">
      <c r="A84" s="258">
        <v>79</v>
      </c>
      <c r="B84" s="259"/>
      <c r="C84" s="259"/>
      <c r="D84" s="259"/>
      <c r="E84" s="259"/>
      <c r="F84" s="259"/>
      <c r="G84" s="260"/>
      <c r="H84" s="261" t="str">
        <f ca="1">IFERROR(IF(VLOOKUP(F84,Kostentypen!$A$3:$E$20,3,0)=0,"",IF(F84="Arbeidskosten",VLOOKUP(G84,Tb_KostenTypen[],2,0),VLOOKUP(F84,Kostentypen!$A$3:$E$20,3,0))),"")</f>
        <v/>
      </c>
      <c r="I84" s="260"/>
      <c r="J84" s="262"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2"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3"/>
      <c r="M84" s="263"/>
      <c r="N84" s="264"/>
      <c r="O84" s="264"/>
      <c r="P84" s="265" t="str" cm="1">
        <f t="array" aca="1" ref="P84" ca="1">_xlfn.IFNA(_xlfn.IFS(T84="Dit kostentype hoeft u niet op te geven. Hiervoor wordt een forfait berekend.","",AND(J84&lt;&gt;"",OR(H84="Uurtarief",H84="Vast tarief")),J84*L84,AND(N84&gt;0,H84="-"),N84),"")</f>
        <v/>
      </c>
      <c r="Q84" s="265" t="str" cm="1">
        <f t="array" aca="1" ref="Q84" ca="1">_xlfn.IFNA(_xlfn.IFS(T84="Dit kostentype hoeft u niet op te geven. Hiervoor wordt een forfait berekend.","",AND(K84&lt;&gt;"",M84&lt;&gt;"",OR(H84="Uurtarief",H84="Vast tarief")),K84*M84,AND(O84&lt;&gt;"",H84="-"),O84),"")</f>
        <v/>
      </c>
      <c r="R84" s="265"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5"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6" t="str">
        <f>IFERROR(VLOOKUP(F84,Tb_ProjectKosten[#All],11,0),"")</f>
        <v/>
      </c>
      <c r="U84" s="257"/>
    </row>
    <row r="85" spans="1:21" ht="15" customHeight="1" x14ac:dyDescent="0.25">
      <c r="A85" s="258">
        <v>80</v>
      </c>
      <c r="B85" s="259"/>
      <c r="C85" s="259"/>
      <c r="D85" s="259"/>
      <c r="E85" s="259"/>
      <c r="F85" s="259"/>
      <c r="G85" s="260"/>
      <c r="H85" s="261" t="str">
        <f ca="1">IFERROR(IF(VLOOKUP(F85,Kostentypen!$A$3:$E$20,3,0)=0,"",IF(F85="Arbeidskosten",VLOOKUP(G85,Tb_KostenTypen[],2,0),VLOOKUP(F85,Kostentypen!$A$3:$E$20,3,0))),"")</f>
        <v/>
      </c>
      <c r="I85" s="260"/>
      <c r="J85" s="262"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2"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3"/>
      <c r="M85" s="263"/>
      <c r="N85" s="264"/>
      <c r="O85" s="264"/>
      <c r="P85" s="265" t="str" cm="1">
        <f t="array" aca="1" ref="P85" ca="1">_xlfn.IFNA(_xlfn.IFS(T85="Dit kostentype hoeft u niet op te geven. Hiervoor wordt een forfait berekend.","",AND(J85&lt;&gt;"",OR(H85="Uurtarief",H85="Vast tarief")),J85*L85,AND(N85&gt;0,H85="-"),N85),"")</f>
        <v/>
      </c>
      <c r="Q85" s="265" t="str" cm="1">
        <f t="array" aca="1" ref="Q85" ca="1">_xlfn.IFNA(_xlfn.IFS(T85="Dit kostentype hoeft u niet op te geven. Hiervoor wordt een forfait berekend.","",AND(K85&lt;&gt;"",M85&lt;&gt;"",OR(H85="Uurtarief",H85="Vast tarief")),K85*M85,AND(O85&lt;&gt;"",H85="-"),O85),"")</f>
        <v/>
      </c>
      <c r="R85" s="265"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5"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6" t="str">
        <f>IFERROR(VLOOKUP(F85,Tb_ProjectKosten[#All],11,0),"")</f>
        <v/>
      </c>
      <c r="U85" s="257"/>
    </row>
    <row r="86" spans="1:21" ht="15" customHeight="1" x14ac:dyDescent="0.25">
      <c r="A86" s="258">
        <v>81</v>
      </c>
      <c r="B86" s="259"/>
      <c r="C86" s="259"/>
      <c r="D86" s="259"/>
      <c r="E86" s="259"/>
      <c r="F86" s="259"/>
      <c r="G86" s="260"/>
      <c r="H86" s="261" t="str">
        <f ca="1">IFERROR(IF(VLOOKUP(F86,Kostentypen!$A$3:$E$20,3,0)=0,"",IF(F86="Arbeidskosten",VLOOKUP(G86,Tb_KostenTypen[],2,0),VLOOKUP(F86,Kostentypen!$A$3:$E$20,3,0))),"")</f>
        <v/>
      </c>
      <c r="I86" s="260"/>
      <c r="J86" s="262"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2"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3"/>
      <c r="M86" s="263"/>
      <c r="N86" s="264"/>
      <c r="O86" s="264"/>
      <c r="P86" s="265" t="str" cm="1">
        <f t="array" aca="1" ref="P86" ca="1">_xlfn.IFNA(_xlfn.IFS(T86="Dit kostentype hoeft u niet op te geven. Hiervoor wordt een forfait berekend.","",AND(J86&lt;&gt;"",OR(H86="Uurtarief",H86="Vast tarief")),J86*L86,AND(N86&gt;0,H86="-"),N86),"")</f>
        <v/>
      </c>
      <c r="Q86" s="265" t="str" cm="1">
        <f t="array" aca="1" ref="Q86" ca="1">_xlfn.IFNA(_xlfn.IFS(T86="Dit kostentype hoeft u niet op te geven. Hiervoor wordt een forfait berekend.","",AND(K86&lt;&gt;"",M86&lt;&gt;"",OR(H86="Uurtarief",H86="Vast tarief")),K86*M86,AND(O86&lt;&gt;"",H86="-"),O86),"")</f>
        <v/>
      </c>
      <c r="R86" s="265"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5"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6" t="str">
        <f>IFERROR(VLOOKUP(F86,Tb_ProjectKosten[#All],11,0),"")</f>
        <v/>
      </c>
      <c r="U86" s="257"/>
    </row>
    <row r="87" spans="1:21" ht="15" customHeight="1" x14ac:dyDescent="0.25">
      <c r="A87" s="258">
        <v>82</v>
      </c>
      <c r="B87" s="259"/>
      <c r="C87" s="259"/>
      <c r="D87" s="259"/>
      <c r="E87" s="259"/>
      <c r="F87" s="259"/>
      <c r="G87" s="260"/>
      <c r="H87" s="261" t="str">
        <f ca="1">IFERROR(IF(VLOOKUP(F87,Kostentypen!$A$3:$E$20,3,0)=0,"",IF(F87="Arbeidskosten",VLOOKUP(G87,Tb_KostenTypen[],2,0),VLOOKUP(F87,Kostentypen!$A$3:$E$20,3,0))),"")</f>
        <v/>
      </c>
      <c r="I87" s="260"/>
      <c r="J87" s="262"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2"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3"/>
      <c r="M87" s="263"/>
      <c r="N87" s="264"/>
      <c r="O87" s="264"/>
      <c r="P87" s="265" t="str" cm="1">
        <f t="array" aca="1" ref="P87" ca="1">_xlfn.IFNA(_xlfn.IFS(T87="Dit kostentype hoeft u niet op te geven. Hiervoor wordt een forfait berekend.","",AND(J87&lt;&gt;"",OR(H87="Uurtarief",H87="Vast tarief")),J87*L87,AND(N87&gt;0,H87="-"),N87),"")</f>
        <v/>
      </c>
      <c r="Q87" s="265" t="str" cm="1">
        <f t="array" aca="1" ref="Q87" ca="1">_xlfn.IFNA(_xlfn.IFS(T87="Dit kostentype hoeft u niet op te geven. Hiervoor wordt een forfait berekend.","",AND(K87&lt;&gt;"",M87&lt;&gt;"",OR(H87="Uurtarief",H87="Vast tarief")),K87*M87,AND(O87&lt;&gt;"",H87="-"),O87),"")</f>
        <v/>
      </c>
      <c r="R87" s="265"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5"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6" t="str">
        <f>IFERROR(VLOOKUP(F87,Tb_ProjectKosten[#All],11,0),"")</f>
        <v/>
      </c>
      <c r="U87" s="257"/>
    </row>
    <row r="88" spans="1:21" ht="15" customHeight="1" x14ac:dyDescent="0.25">
      <c r="A88" s="258">
        <v>83</v>
      </c>
      <c r="B88" s="259"/>
      <c r="C88" s="259"/>
      <c r="D88" s="259"/>
      <c r="E88" s="259"/>
      <c r="F88" s="259"/>
      <c r="G88" s="260"/>
      <c r="H88" s="261" t="str">
        <f ca="1">IFERROR(IF(VLOOKUP(F88,Kostentypen!$A$3:$E$20,3,0)=0,"",IF(F88="Arbeidskosten",VLOOKUP(G88,Tb_KostenTypen[],2,0),VLOOKUP(F88,Kostentypen!$A$3:$E$20,3,0))),"")</f>
        <v/>
      </c>
      <c r="I88" s="260"/>
      <c r="J88" s="262"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2"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3"/>
      <c r="M88" s="263"/>
      <c r="N88" s="264"/>
      <c r="O88" s="264"/>
      <c r="P88" s="265" t="str" cm="1">
        <f t="array" aca="1" ref="P88" ca="1">_xlfn.IFNA(_xlfn.IFS(T88="Dit kostentype hoeft u niet op te geven. Hiervoor wordt een forfait berekend.","",AND(J88&lt;&gt;"",OR(H88="Uurtarief",H88="Vast tarief")),J88*L88,AND(N88&gt;0,H88="-"),N88),"")</f>
        <v/>
      </c>
      <c r="Q88" s="265" t="str" cm="1">
        <f t="array" aca="1" ref="Q88" ca="1">_xlfn.IFNA(_xlfn.IFS(T88="Dit kostentype hoeft u niet op te geven. Hiervoor wordt een forfait berekend.","",AND(K88&lt;&gt;"",M88&lt;&gt;"",OR(H88="Uurtarief",H88="Vast tarief")),K88*M88,AND(O88&lt;&gt;"",H88="-"),O88),"")</f>
        <v/>
      </c>
      <c r="R88" s="265"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5"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6" t="str">
        <f>IFERROR(VLOOKUP(F88,Tb_ProjectKosten[#All],11,0),"")</f>
        <v/>
      </c>
      <c r="U88" s="257"/>
    </row>
    <row r="89" spans="1:21" ht="15" customHeight="1" x14ac:dyDescent="0.25">
      <c r="A89" s="258">
        <v>84</v>
      </c>
      <c r="B89" s="259"/>
      <c r="C89" s="259"/>
      <c r="D89" s="259"/>
      <c r="E89" s="259"/>
      <c r="F89" s="259"/>
      <c r="G89" s="260"/>
      <c r="H89" s="261" t="str">
        <f ca="1">IFERROR(IF(VLOOKUP(F89,Kostentypen!$A$3:$E$20,3,0)=0,"",IF(F89="Arbeidskosten",VLOOKUP(G89,Tb_KostenTypen[],2,0),VLOOKUP(F89,Kostentypen!$A$3:$E$20,3,0))),"")</f>
        <v/>
      </c>
      <c r="I89" s="260"/>
      <c r="J89" s="262"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2"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3"/>
      <c r="M89" s="263"/>
      <c r="N89" s="264"/>
      <c r="O89" s="264"/>
      <c r="P89" s="265" t="str" cm="1">
        <f t="array" aca="1" ref="P89" ca="1">_xlfn.IFNA(_xlfn.IFS(T89="Dit kostentype hoeft u niet op te geven. Hiervoor wordt een forfait berekend.","",AND(J89&lt;&gt;"",OR(H89="Uurtarief",H89="Vast tarief")),J89*L89,AND(N89&gt;0,H89="-"),N89),"")</f>
        <v/>
      </c>
      <c r="Q89" s="265" t="str" cm="1">
        <f t="array" aca="1" ref="Q89" ca="1">_xlfn.IFNA(_xlfn.IFS(T89="Dit kostentype hoeft u niet op te geven. Hiervoor wordt een forfait berekend.","",AND(K89&lt;&gt;"",M89&lt;&gt;"",OR(H89="Uurtarief",H89="Vast tarief")),K89*M89,AND(O89&lt;&gt;"",H89="-"),O89),"")</f>
        <v/>
      </c>
      <c r="R89" s="265"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5"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6" t="str">
        <f>IFERROR(VLOOKUP(F89,Tb_ProjectKosten[#All],11,0),"")</f>
        <v/>
      </c>
      <c r="U89" s="257"/>
    </row>
    <row r="90" spans="1:21" ht="15" customHeight="1" x14ac:dyDescent="0.25">
      <c r="A90" s="258">
        <v>85</v>
      </c>
      <c r="B90" s="259"/>
      <c r="C90" s="259"/>
      <c r="D90" s="259"/>
      <c r="E90" s="259"/>
      <c r="F90" s="259"/>
      <c r="G90" s="260"/>
      <c r="H90" s="261" t="str">
        <f ca="1">IFERROR(IF(VLOOKUP(F90,Kostentypen!$A$3:$E$20,3,0)=0,"",IF(F90="Arbeidskosten",VLOOKUP(G90,Tb_KostenTypen[],2,0),VLOOKUP(F90,Kostentypen!$A$3:$E$20,3,0))),"")</f>
        <v/>
      </c>
      <c r="I90" s="260"/>
      <c r="J90" s="262"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2"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3"/>
      <c r="M90" s="263"/>
      <c r="N90" s="264"/>
      <c r="O90" s="264"/>
      <c r="P90" s="265" t="str" cm="1">
        <f t="array" aca="1" ref="P90" ca="1">_xlfn.IFNA(_xlfn.IFS(T90="Dit kostentype hoeft u niet op te geven. Hiervoor wordt een forfait berekend.","",AND(J90&lt;&gt;"",OR(H90="Uurtarief",H90="Vast tarief")),J90*L90,AND(N90&gt;0,H90="-"),N90),"")</f>
        <v/>
      </c>
      <c r="Q90" s="265" t="str" cm="1">
        <f t="array" aca="1" ref="Q90" ca="1">_xlfn.IFNA(_xlfn.IFS(T90="Dit kostentype hoeft u niet op te geven. Hiervoor wordt een forfait berekend.","",AND(K90&lt;&gt;"",M90&lt;&gt;"",OR(H90="Uurtarief",H90="Vast tarief")),K90*M90,AND(O90&lt;&gt;"",H90="-"),O90),"")</f>
        <v/>
      </c>
      <c r="R90" s="265"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5"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6" t="str">
        <f>IFERROR(VLOOKUP(F90,Tb_ProjectKosten[#All],11,0),"")</f>
        <v/>
      </c>
      <c r="U90" s="257"/>
    </row>
    <row r="91" spans="1:21" ht="15" customHeight="1" x14ac:dyDescent="0.25">
      <c r="A91" s="258">
        <v>86</v>
      </c>
      <c r="B91" s="259"/>
      <c r="C91" s="259"/>
      <c r="D91" s="259"/>
      <c r="E91" s="259"/>
      <c r="F91" s="259"/>
      <c r="G91" s="260"/>
      <c r="H91" s="261" t="str">
        <f ca="1">IFERROR(IF(VLOOKUP(F91,Kostentypen!$A$3:$E$20,3,0)=0,"",IF(F91="Arbeidskosten",VLOOKUP(G91,Tb_KostenTypen[],2,0),VLOOKUP(F91,Kostentypen!$A$3:$E$20,3,0))),"")</f>
        <v/>
      </c>
      <c r="I91" s="260"/>
      <c r="J91" s="262"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2"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3"/>
      <c r="M91" s="263"/>
      <c r="N91" s="264"/>
      <c r="O91" s="264"/>
      <c r="P91" s="265" t="str" cm="1">
        <f t="array" aca="1" ref="P91" ca="1">_xlfn.IFNA(_xlfn.IFS(T91="Dit kostentype hoeft u niet op te geven. Hiervoor wordt een forfait berekend.","",AND(J91&lt;&gt;"",OR(H91="Uurtarief",H91="Vast tarief")),J91*L91,AND(N91&gt;0,H91="-"),N91),"")</f>
        <v/>
      </c>
      <c r="Q91" s="265" t="str" cm="1">
        <f t="array" aca="1" ref="Q91" ca="1">_xlfn.IFNA(_xlfn.IFS(T91="Dit kostentype hoeft u niet op te geven. Hiervoor wordt een forfait berekend.","",AND(K91&lt;&gt;"",M91&lt;&gt;"",OR(H91="Uurtarief",H91="Vast tarief")),K91*M91,AND(O91&lt;&gt;"",H91="-"),O91),"")</f>
        <v/>
      </c>
      <c r="R91" s="265"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5"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6" t="str">
        <f>IFERROR(VLOOKUP(F91,Tb_ProjectKosten[#All],11,0),"")</f>
        <v/>
      </c>
      <c r="U91" s="257"/>
    </row>
    <row r="92" spans="1:21" ht="15" customHeight="1" x14ac:dyDescent="0.25">
      <c r="A92" s="258">
        <v>87</v>
      </c>
      <c r="B92" s="259"/>
      <c r="C92" s="259"/>
      <c r="D92" s="259"/>
      <c r="E92" s="259"/>
      <c r="F92" s="259"/>
      <c r="G92" s="260"/>
      <c r="H92" s="261" t="str">
        <f ca="1">IFERROR(IF(VLOOKUP(F92,Kostentypen!$A$3:$E$20,3,0)=0,"",IF(F92="Arbeidskosten",VLOOKUP(G92,Tb_KostenTypen[],2,0),VLOOKUP(F92,Kostentypen!$A$3:$E$20,3,0))),"")</f>
        <v/>
      </c>
      <c r="I92" s="260"/>
      <c r="J92" s="262"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2"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3"/>
      <c r="M92" s="263"/>
      <c r="N92" s="264"/>
      <c r="O92" s="264"/>
      <c r="P92" s="265" t="str" cm="1">
        <f t="array" aca="1" ref="P92" ca="1">_xlfn.IFNA(_xlfn.IFS(T92="Dit kostentype hoeft u niet op te geven. Hiervoor wordt een forfait berekend.","",AND(J92&lt;&gt;"",OR(H92="Uurtarief",H92="Vast tarief")),J92*L92,AND(N92&gt;0,H92="-"),N92),"")</f>
        <v/>
      </c>
      <c r="Q92" s="265" t="str" cm="1">
        <f t="array" aca="1" ref="Q92" ca="1">_xlfn.IFNA(_xlfn.IFS(T92="Dit kostentype hoeft u niet op te geven. Hiervoor wordt een forfait berekend.","",AND(K92&lt;&gt;"",M92&lt;&gt;"",OR(H92="Uurtarief",H92="Vast tarief")),K92*M92,AND(O92&lt;&gt;"",H92="-"),O92),"")</f>
        <v/>
      </c>
      <c r="R92" s="265"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5"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6" t="str">
        <f>IFERROR(VLOOKUP(F92,Tb_ProjectKosten[#All],11,0),"")</f>
        <v/>
      </c>
      <c r="U92" s="257"/>
    </row>
    <row r="93" spans="1:21" ht="15" customHeight="1" x14ac:dyDescent="0.25">
      <c r="A93" s="258">
        <v>88</v>
      </c>
      <c r="B93" s="259"/>
      <c r="C93" s="259"/>
      <c r="D93" s="259"/>
      <c r="E93" s="259"/>
      <c r="F93" s="259"/>
      <c r="G93" s="260"/>
      <c r="H93" s="261" t="str">
        <f ca="1">IFERROR(IF(VLOOKUP(F93,Kostentypen!$A$3:$E$20,3,0)=0,"",IF(F93="Arbeidskosten",VLOOKUP(G93,Tb_KostenTypen[],2,0),VLOOKUP(F93,Kostentypen!$A$3:$E$20,3,0))),"")</f>
        <v/>
      </c>
      <c r="I93" s="260"/>
      <c r="J93" s="262"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2"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3"/>
      <c r="M93" s="263"/>
      <c r="N93" s="264"/>
      <c r="O93" s="264"/>
      <c r="P93" s="265" t="str" cm="1">
        <f t="array" aca="1" ref="P93" ca="1">_xlfn.IFNA(_xlfn.IFS(T93="Dit kostentype hoeft u niet op te geven. Hiervoor wordt een forfait berekend.","",AND(J93&lt;&gt;"",OR(H93="Uurtarief",H93="Vast tarief")),J93*L93,AND(N93&gt;0,H93="-"),N93),"")</f>
        <v/>
      </c>
      <c r="Q93" s="265" t="str" cm="1">
        <f t="array" aca="1" ref="Q93" ca="1">_xlfn.IFNA(_xlfn.IFS(T93="Dit kostentype hoeft u niet op te geven. Hiervoor wordt een forfait berekend.","",AND(K93&lt;&gt;"",M93&lt;&gt;"",OR(H93="Uurtarief",H93="Vast tarief")),K93*M93,AND(O93&lt;&gt;"",H93="-"),O93),"")</f>
        <v/>
      </c>
      <c r="R93" s="265"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5"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6" t="str">
        <f>IFERROR(VLOOKUP(F93,Tb_ProjectKosten[#All],11,0),"")</f>
        <v/>
      </c>
      <c r="U93" s="257"/>
    </row>
    <row r="94" spans="1:21" ht="15" customHeight="1" x14ac:dyDescent="0.25">
      <c r="A94" s="258">
        <v>89</v>
      </c>
      <c r="B94" s="259"/>
      <c r="C94" s="259"/>
      <c r="D94" s="259"/>
      <c r="E94" s="259"/>
      <c r="F94" s="259"/>
      <c r="G94" s="260"/>
      <c r="H94" s="261" t="str">
        <f ca="1">IFERROR(IF(VLOOKUP(F94,Kostentypen!$A$3:$E$20,3,0)=0,"",IF(F94="Arbeidskosten",VLOOKUP(G94,Tb_KostenTypen[],2,0),VLOOKUP(F94,Kostentypen!$A$3:$E$20,3,0))),"")</f>
        <v/>
      </c>
      <c r="I94" s="260"/>
      <c r="J94" s="262"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2"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3"/>
      <c r="M94" s="263"/>
      <c r="N94" s="264"/>
      <c r="O94" s="264"/>
      <c r="P94" s="265" t="str" cm="1">
        <f t="array" aca="1" ref="P94" ca="1">_xlfn.IFNA(_xlfn.IFS(T94="Dit kostentype hoeft u niet op te geven. Hiervoor wordt een forfait berekend.","",AND(J94&lt;&gt;"",OR(H94="Uurtarief",H94="Vast tarief")),J94*L94,AND(N94&gt;0,H94="-"),N94),"")</f>
        <v/>
      </c>
      <c r="Q94" s="265" t="str" cm="1">
        <f t="array" aca="1" ref="Q94" ca="1">_xlfn.IFNA(_xlfn.IFS(T94="Dit kostentype hoeft u niet op te geven. Hiervoor wordt een forfait berekend.","",AND(K94&lt;&gt;"",M94&lt;&gt;"",OR(H94="Uurtarief",H94="Vast tarief")),K94*M94,AND(O94&lt;&gt;"",H94="-"),O94),"")</f>
        <v/>
      </c>
      <c r="R94" s="265"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5"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6" t="str">
        <f>IFERROR(VLOOKUP(F94,Tb_ProjectKosten[#All],11,0),"")</f>
        <v/>
      </c>
      <c r="U94" s="257"/>
    </row>
    <row r="95" spans="1:21" ht="15" customHeight="1" x14ac:dyDescent="0.25">
      <c r="A95" s="258">
        <v>90</v>
      </c>
      <c r="B95" s="259"/>
      <c r="C95" s="259"/>
      <c r="D95" s="259"/>
      <c r="E95" s="259"/>
      <c r="F95" s="259"/>
      <c r="G95" s="260"/>
      <c r="H95" s="261" t="str">
        <f ca="1">IFERROR(IF(VLOOKUP(F95,Kostentypen!$A$3:$E$20,3,0)=0,"",IF(F95="Arbeidskosten",VLOOKUP(G95,Tb_KostenTypen[],2,0),VLOOKUP(F95,Kostentypen!$A$3:$E$20,3,0))),"")</f>
        <v/>
      </c>
      <c r="I95" s="260"/>
      <c r="J95" s="262"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2"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3"/>
      <c r="M95" s="263"/>
      <c r="N95" s="264"/>
      <c r="O95" s="264"/>
      <c r="P95" s="265" t="str" cm="1">
        <f t="array" aca="1" ref="P95" ca="1">_xlfn.IFNA(_xlfn.IFS(T95="Dit kostentype hoeft u niet op te geven. Hiervoor wordt een forfait berekend.","",AND(J95&lt;&gt;"",OR(H95="Uurtarief",H95="Vast tarief")),J95*L95,AND(N95&gt;0,H95="-"),N95),"")</f>
        <v/>
      </c>
      <c r="Q95" s="265" t="str" cm="1">
        <f t="array" aca="1" ref="Q95" ca="1">_xlfn.IFNA(_xlfn.IFS(T95="Dit kostentype hoeft u niet op te geven. Hiervoor wordt een forfait berekend.","",AND(K95&lt;&gt;"",M95&lt;&gt;"",OR(H95="Uurtarief",H95="Vast tarief")),K95*M95,AND(O95&lt;&gt;"",H95="-"),O95),"")</f>
        <v/>
      </c>
      <c r="R95" s="265"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5"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6" t="str">
        <f>IFERROR(VLOOKUP(F95,Tb_ProjectKosten[#All],11,0),"")</f>
        <v/>
      </c>
      <c r="U95" s="257"/>
    </row>
    <row r="96" spans="1:21" ht="15" customHeight="1" x14ac:dyDescent="0.25">
      <c r="A96" s="258">
        <v>91</v>
      </c>
      <c r="B96" s="259"/>
      <c r="C96" s="259"/>
      <c r="D96" s="259"/>
      <c r="E96" s="259"/>
      <c r="F96" s="259"/>
      <c r="G96" s="260"/>
      <c r="H96" s="261" t="str">
        <f ca="1">IFERROR(IF(VLOOKUP(F96,Kostentypen!$A$3:$E$20,3,0)=0,"",IF(F96="Arbeidskosten",VLOOKUP(G96,Tb_KostenTypen[],2,0),VLOOKUP(F96,Kostentypen!$A$3:$E$20,3,0))),"")</f>
        <v/>
      </c>
      <c r="I96" s="260"/>
      <c r="J96" s="262"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2"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3"/>
      <c r="M96" s="263"/>
      <c r="N96" s="264"/>
      <c r="O96" s="264"/>
      <c r="P96" s="265" t="str" cm="1">
        <f t="array" aca="1" ref="P96" ca="1">_xlfn.IFNA(_xlfn.IFS(T96="Dit kostentype hoeft u niet op te geven. Hiervoor wordt een forfait berekend.","",AND(J96&lt;&gt;"",OR(H96="Uurtarief",H96="Vast tarief")),J96*L96,AND(N96&gt;0,H96="-"),N96),"")</f>
        <v/>
      </c>
      <c r="Q96" s="265" t="str" cm="1">
        <f t="array" aca="1" ref="Q96" ca="1">_xlfn.IFNA(_xlfn.IFS(T96="Dit kostentype hoeft u niet op te geven. Hiervoor wordt een forfait berekend.","",AND(K96&lt;&gt;"",M96&lt;&gt;"",OR(H96="Uurtarief",H96="Vast tarief")),K96*M96,AND(O96&lt;&gt;"",H96="-"),O96),"")</f>
        <v/>
      </c>
      <c r="R96" s="265"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5"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6" t="str">
        <f>IFERROR(VLOOKUP(F96,Tb_ProjectKosten[#All],11,0),"")</f>
        <v/>
      </c>
      <c r="U96" s="257"/>
    </row>
    <row r="97" spans="1:21" ht="15" customHeight="1" x14ac:dyDescent="0.25">
      <c r="A97" s="258">
        <v>92</v>
      </c>
      <c r="B97" s="259"/>
      <c r="C97" s="259"/>
      <c r="D97" s="259"/>
      <c r="E97" s="259"/>
      <c r="F97" s="259"/>
      <c r="G97" s="260"/>
      <c r="H97" s="261" t="str">
        <f ca="1">IFERROR(IF(VLOOKUP(F97,Kostentypen!$A$3:$E$20,3,0)=0,"",IF(F97="Arbeidskosten",VLOOKUP(G97,Tb_KostenTypen[],2,0),VLOOKUP(F97,Kostentypen!$A$3:$E$20,3,0))),"")</f>
        <v/>
      </c>
      <c r="I97" s="260"/>
      <c r="J97" s="262"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2"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3"/>
      <c r="M97" s="263"/>
      <c r="N97" s="264"/>
      <c r="O97" s="264"/>
      <c r="P97" s="265" t="str" cm="1">
        <f t="array" aca="1" ref="P97" ca="1">_xlfn.IFNA(_xlfn.IFS(T97="Dit kostentype hoeft u niet op te geven. Hiervoor wordt een forfait berekend.","",AND(J97&lt;&gt;"",OR(H97="Uurtarief",H97="Vast tarief")),J97*L97,AND(N97&gt;0,H97="-"),N97),"")</f>
        <v/>
      </c>
      <c r="Q97" s="265" t="str" cm="1">
        <f t="array" aca="1" ref="Q97" ca="1">_xlfn.IFNA(_xlfn.IFS(T97="Dit kostentype hoeft u niet op te geven. Hiervoor wordt een forfait berekend.","",AND(K97&lt;&gt;"",M97&lt;&gt;"",OR(H97="Uurtarief",H97="Vast tarief")),K97*M97,AND(O97&lt;&gt;"",H97="-"),O97),"")</f>
        <v/>
      </c>
      <c r="R97" s="265"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5"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6" t="str">
        <f>IFERROR(VLOOKUP(F97,Tb_ProjectKosten[#All],11,0),"")</f>
        <v/>
      </c>
      <c r="U97" s="257"/>
    </row>
    <row r="98" spans="1:21" ht="15" customHeight="1" x14ac:dyDescent="0.25">
      <c r="A98" s="258">
        <v>93</v>
      </c>
      <c r="B98" s="259"/>
      <c r="C98" s="259"/>
      <c r="D98" s="259"/>
      <c r="E98" s="259"/>
      <c r="F98" s="259"/>
      <c r="G98" s="260"/>
      <c r="H98" s="261" t="str">
        <f ca="1">IFERROR(IF(VLOOKUP(F98,Kostentypen!$A$3:$E$20,3,0)=0,"",IF(F98="Arbeidskosten",VLOOKUP(G98,Tb_KostenTypen[],2,0),VLOOKUP(F98,Kostentypen!$A$3:$E$20,3,0))),"")</f>
        <v/>
      </c>
      <c r="I98" s="260"/>
      <c r="J98" s="262"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2"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3"/>
      <c r="M98" s="263"/>
      <c r="N98" s="264"/>
      <c r="O98" s="264"/>
      <c r="P98" s="265" t="str" cm="1">
        <f t="array" aca="1" ref="P98" ca="1">_xlfn.IFNA(_xlfn.IFS(T98="Dit kostentype hoeft u niet op te geven. Hiervoor wordt een forfait berekend.","",AND(J98&lt;&gt;"",OR(H98="Uurtarief",H98="Vast tarief")),J98*L98,AND(N98&gt;0,H98="-"),N98),"")</f>
        <v/>
      </c>
      <c r="Q98" s="265" t="str" cm="1">
        <f t="array" aca="1" ref="Q98" ca="1">_xlfn.IFNA(_xlfn.IFS(T98="Dit kostentype hoeft u niet op te geven. Hiervoor wordt een forfait berekend.","",AND(K98&lt;&gt;"",M98&lt;&gt;"",OR(H98="Uurtarief",H98="Vast tarief")),K98*M98,AND(O98&lt;&gt;"",H98="-"),O98),"")</f>
        <v/>
      </c>
      <c r="R98" s="265"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5"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6" t="str">
        <f>IFERROR(VLOOKUP(F98,Tb_ProjectKosten[#All],11,0),"")</f>
        <v/>
      </c>
      <c r="U98" s="257"/>
    </row>
    <row r="99" spans="1:21" ht="15" customHeight="1" x14ac:dyDescent="0.25">
      <c r="A99" s="258">
        <v>94</v>
      </c>
      <c r="B99" s="259"/>
      <c r="C99" s="259"/>
      <c r="D99" s="259"/>
      <c r="E99" s="259"/>
      <c r="F99" s="259"/>
      <c r="G99" s="260"/>
      <c r="H99" s="261" t="str">
        <f ca="1">IFERROR(IF(VLOOKUP(F99,Kostentypen!$A$3:$E$20,3,0)=0,"",IF(F99="Arbeidskosten",VLOOKUP(G99,Tb_KostenTypen[],2,0),VLOOKUP(F99,Kostentypen!$A$3:$E$20,3,0))),"")</f>
        <v/>
      </c>
      <c r="I99" s="260"/>
      <c r="J99" s="262"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2"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3"/>
      <c r="M99" s="263"/>
      <c r="N99" s="264"/>
      <c r="O99" s="264"/>
      <c r="P99" s="265" t="str" cm="1">
        <f t="array" aca="1" ref="P99" ca="1">_xlfn.IFNA(_xlfn.IFS(T99="Dit kostentype hoeft u niet op te geven. Hiervoor wordt een forfait berekend.","",AND(J99&lt;&gt;"",OR(H99="Uurtarief",H99="Vast tarief")),J99*L99,AND(N99&gt;0,H99="-"),N99),"")</f>
        <v/>
      </c>
      <c r="Q99" s="265" t="str" cm="1">
        <f t="array" aca="1" ref="Q99" ca="1">_xlfn.IFNA(_xlfn.IFS(T99="Dit kostentype hoeft u niet op te geven. Hiervoor wordt een forfait berekend.","",AND(K99&lt;&gt;"",M99&lt;&gt;"",OR(H99="Uurtarief",H99="Vast tarief")),K99*M99,AND(O99&lt;&gt;"",H99="-"),O99),"")</f>
        <v/>
      </c>
      <c r="R99" s="265"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5"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6" t="str">
        <f>IFERROR(VLOOKUP(F99,Tb_ProjectKosten[#All],11,0),"")</f>
        <v/>
      </c>
      <c r="U99" s="257"/>
    </row>
    <row r="100" spans="1:21" ht="15" customHeight="1" x14ac:dyDescent="0.25">
      <c r="A100" s="258">
        <v>95</v>
      </c>
      <c r="B100" s="259"/>
      <c r="C100" s="259"/>
      <c r="D100" s="259"/>
      <c r="E100" s="259"/>
      <c r="F100" s="259"/>
      <c r="G100" s="260"/>
      <c r="H100" s="261" t="str">
        <f ca="1">IFERROR(IF(VLOOKUP(F100,Kostentypen!$A$3:$E$20,3,0)=0,"",IF(F100="Arbeidskosten",VLOOKUP(G100,Tb_KostenTypen[],2,0),VLOOKUP(F100,Kostentypen!$A$3:$E$20,3,0))),"")</f>
        <v/>
      </c>
      <c r="I100" s="260"/>
      <c r="J100" s="262"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2"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3"/>
      <c r="M100" s="263"/>
      <c r="N100" s="264"/>
      <c r="O100" s="264"/>
      <c r="P100" s="265" t="str" cm="1">
        <f t="array" aca="1" ref="P100" ca="1">_xlfn.IFNA(_xlfn.IFS(T100="Dit kostentype hoeft u niet op te geven. Hiervoor wordt een forfait berekend.","",AND(J100&lt;&gt;"",OR(H100="Uurtarief",H100="Vast tarief")),J100*L100,AND(N100&gt;0,H100="-"),N100),"")</f>
        <v/>
      </c>
      <c r="Q100" s="265" t="str" cm="1">
        <f t="array" aca="1" ref="Q100" ca="1">_xlfn.IFNA(_xlfn.IFS(T100="Dit kostentype hoeft u niet op te geven. Hiervoor wordt een forfait berekend.","",AND(K100&lt;&gt;"",M100&lt;&gt;"",OR(H100="Uurtarief",H100="Vast tarief")),K100*M100,AND(O100&lt;&gt;"",H100="-"),O100),"")</f>
        <v/>
      </c>
      <c r="R100" s="265"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5"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6" t="str">
        <f>IFERROR(VLOOKUP(F100,Tb_ProjectKosten[#All],11,0),"")</f>
        <v/>
      </c>
      <c r="U100" s="257"/>
    </row>
    <row r="101" spans="1:21" ht="15" customHeight="1" x14ac:dyDescent="0.25">
      <c r="A101" s="258">
        <v>96</v>
      </c>
      <c r="B101" s="259"/>
      <c r="C101" s="259"/>
      <c r="D101" s="259"/>
      <c r="E101" s="259"/>
      <c r="F101" s="259"/>
      <c r="G101" s="260"/>
      <c r="H101" s="261" t="str">
        <f ca="1">IFERROR(IF(VLOOKUP(F101,Kostentypen!$A$3:$E$20,3,0)=0,"",IF(F101="Arbeidskosten",VLOOKUP(G101,Tb_KostenTypen[],2,0),VLOOKUP(F101,Kostentypen!$A$3:$E$20,3,0))),"")</f>
        <v/>
      </c>
      <c r="I101" s="260"/>
      <c r="J101" s="262"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2"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3"/>
      <c r="M101" s="263"/>
      <c r="N101" s="264"/>
      <c r="O101" s="264"/>
      <c r="P101" s="265" t="str" cm="1">
        <f t="array" aca="1" ref="P101" ca="1">_xlfn.IFNA(_xlfn.IFS(T101="Dit kostentype hoeft u niet op te geven. Hiervoor wordt een forfait berekend.","",AND(J101&lt;&gt;"",OR(H101="Uurtarief",H101="Vast tarief")),J101*L101,AND(N101&gt;0,H101="-"),N101),"")</f>
        <v/>
      </c>
      <c r="Q101" s="265" t="str" cm="1">
        <f t="array" aca="1" ref="Q101" ca="1">_xlfn.IFNA(_xlfn.IFS(T101="Dit kostentype hoeft u niet op te geven. Hiervoor wordt een forfait berekend.","",AND(K101&lt;&gt;"",M101&lt;&gt;"",OR(H101="Uurtarief",H101="Vast tarief")),K101*M101,AND(O101&lt;&gt;"",H101="-"),O101),"")</f>
        <v/>
      </c>
      <c r="R101" s="265"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5"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6" t="str">
        <f>IFERROR(VLOOKUP(F101,Tb_ProjectKosten[#All],11,0),"")</f>
        <v/>
      </c>
      <c r="U101" s="257"/>
    </row>
    <row r="102" spans="1:21" ht="15" customHeight="1" x14ac:dyDescent="0.25">
      <c r="A102" s="258">
        <v>97</v>
      </c>
      <c r="B102" s="259"/>
      <c r="C102" s="259"/>
      <c r="D102" s="259"/>
      <c r="E102" s="259"/>
      <c r="F102" s="259"/>
      <c r="G102" s="260"/>
      <c r="H102" s="261" t="str">
        <f ca="1">IFERROR(IF(VLOOKUP(F102,Kostentypen!$A$3:$E$20,3,0)=0,"",IF(F102="Arbeidskosten",VLOOKUP(G102,Tb_KostenTypen[],2,0),VLOOKUP(F102,Kostentypen!$A$3:$E$20,3,0))),"")</f>
        <v/>
      </c>
      <c r="I102" s="260"/>
      <c r="J102" s="262"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2"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3"/>
      <c r="M102" s="263"/>
      <c r="N102" s="264"/>
      <c r="O102" s="264"/>
      <c r="P102" s="265" t="str" cm="1">
        <f t="array" aca="1" ref="P102" ca="1">_xlfn.IFNA(_xlfn.IFS(T102="Dit kostentype hoeft u niet op te geven. Hiervoor wordt een forfait berekend.","",AND(J102&lt;&gt;"",OR(H102="Uurtarief",H102="Vast tarief")),J102*L102,AND(N102&gt;0,H102="-"),N102),"")</f>
        <v/>
      </c>
      <c r="Q102" s="265" t="str" cm="1">
        <f t="array" aca="1" ref="Q102" ca="1">_xlfn.IFNA(_xlfn.IFS(T102="Dit kostentype hoeft u niet op te geven. Hiervoor wordt een forfait berekend.","",AND(K102&lt;&gt;"",M102&lt;&gt;"",OR(H102="Uurtarief",H102="Vast tarief")),K102*M102,AND(O102&lt;&gt;"",H102="-"),O102),"")</f>
        <v/>
      </c>
      <c r="R102" s="265"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5"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6" t="str">
        <f>IFERROR(VLOOKUP(F102,Tb_ProjectKosten[#All],11,0),"")</f>
        <v/>
      </c>
      <c r="U102" s="257"/>
    </row>
    <row r="103" spans="1:21" ht="15" customHeight="1" x14ac:dyDescent="0.25">
      <c r="A103" s="258">
        <v>98</v>
      </c>
      <c r="B103" s="259"/>
      <c r="C103" s="259"/>
      <c r="D103" s="259"/>
      <c r="E103" s="259"/>
      <c r="F103" s="259"/>
      <c r="G103" s="260"/>
      <c r="H103" s="261" t="str">
        <f ca="1">IFERROR(IF(VLOOKUP(F103,Kostentypen!$A$3:$E$20,3,0)=0,"",IF(F103="Arbeidskosten",VLOOKUP(G103,Tb_KostenTypen[],2,0),VLOOKUP(F103,Kostentypen!$A$3:$E$20,3,0))),"")</f>
        <v/>
      </c>
      <c r="I103" s="260"/>
      <c r="J103" s="262"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2"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3"/>
      <c r="M103" s="263"/>
      <c r="N103" s="264"/>
      <c r="O103" s="264"/>
      <c r="P103" s="265" t="str" cm="1">
        <f t="array" aca="1" ref="P103" ca="1">_xlfn.IFNA(_xlfn.IFS(T103="Dit kostentype hoeft u niet op te geven. Hiervoor wordt een forfait berekend.","",AND(J103&lt;&gt;"",OR(H103="Uurtarief",H103="Vast tarief")),J103*L103,AND(N103&gt;0,H103="-"),N103),"")</f>
        <v/>
      </c>
      <c r="Q103" s="265" t="str" cm="1">
        <f t="array" aca="1" ref="Q103" ca="1">_xlfn.IFNA(_xlfn.IFS(T103="Dit kostentype hoeft u niet op te geven. Hiervoor wordt een forfait berekend.","",AND(K103&lt;&gt;"",M103&lt;&gt;"",OR(H103="Uurtarief",H103="Vast tarief")),K103*M103,AND(O103&lt;&gt;"",H103="-"),O103),"")</f>
        <v/>
      </c>
      <c r="R103" s="265"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5"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6" t="str">
        <f>IFERROR(VLOOKUP(F103,Tb_ProjectKosten[#All],11,0),"")</f>
        <v/>
      </c>
      <c r="U103" s="257"/>
    </row>
    <row r="104" spans="1:21" ht="15" customHeight="1" x14ac:dyDescent="0.25">
      <c r="A104" s="258">
        <v>99</v>
      </c>
      <c r="B104" s="259"/>
      <c r="C104" s="259"/>
      <c r="D104" s="259"/>
      <c r="E104" s="259"/>
      <c r="F104" s="259"/>
      <c r="G104" s="260"/>
      <c r="H104" s="261" t="str">
        <f ca="1">IFERROR(IF(VLOOKUP(F104,Kostentypen!$A$3:$E$20,3,0)=0,"",IF(F104="Arbeidskosten",VLOOKUP(G104,Tb_KostenTypen[],2,0),VLOOKUP(F104,Kostentypen!$A$3:$E$20,3,0))),"")</f>
        <v/>
      </c>
      <c r="I104" s="260"/>
      <c r="J104" s="262"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2"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3"/>
      <c r="M104" s="263"/>
      <c r="N104" s="264"/>
      <c r="O104" s="264"/>
      <c r="P104" s="265" t="str" cm="1">
        <f t="array" aca="1" ref="P104" ca="1">_xlfn.IFNA(_xlfn.IFS(T104="Dit kostentype hoeft u niet op te geven. Hiervoor wordt een forfait berekend.","",AND(J104&lt;&gt;"",OR(H104="Uurtarief",H104="Vast tarief")),J104*L104,AND(N104&gt;0,H104="-"),N104),"")</f>
        <v/>
      </c>
      <c r="Q104" s="265" t="str" cm="1">
        <f t="array" aca="1" ref="Q104" ca="1">_xlfn.IFNA(_xlfn.IFS(T104="Dit kostentype hoeft u niet op te geven. Hiervoor wordt een forfait berekend.","",AND(K104&lt;&gt;"",M104&lt;&gt;"",OR(H104="Uurtarief",H104="Vast tarief")),K104*M104,AND(O104&lt;&gt;"",H104="-"),O104),"")</f>
        <v/>
      </c>
      <c r="R104" s="265"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5"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6" t="str">
        <f>IFERROR(VLOOKUP(F104,Tb_ProjectKosten[#All],11,0),"")</f>
        <v/>
      </c>
      <c r="U104" s="257"/>
    </row>
    <row r="105" spans="1:21" ht="15" customHeight="1" x14ac:dyDescent="0.25">
      <c r="A105" s="258">
        <v>100</v>
      </c>
      <c r="B105" s="259"/>
      <c r="C105" s="259"/>
      <c r="D105" s="259"/>
      <c r="E105" s="259"/>
      <c r="F105" s="259"/>
      <c r="G105" s="260"/>
      <c r="H105" s="261" t="str">
        <f ca="1">IFERROR(IF(VLOOKUP(F105,Kostentypen!$A$3:$E$20,3,0)=0,"",IF(F105="Arbeidskosten",VLOOKUP(G105,Tb_KostenTypen[],2,0),VLOOKUP(F105,Kostentypen!$A$3:$E$20,3,0))),"")</f>
        <v/>
      </c>
      <c r="I105" s="260"/>
      <c r="J105" s="262"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2"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3"/>
      <c r="M105" s="263"/>
      <c r="N105" s="264"/>
      <c r="O105" s="264"/>
      <c r="P105" s="265" t="str" cm="1">
        <f t="array" aca="1" ref="P105" ca="1">_xlfn.IFNA(_xlfn.IFS(T105="Dit kostentype hoeft u niet op te geven. Hiervoor wordt een forfait berekend.","",AND(J105&lt;&gt;"",OR(H105="Uurtarief",H105="Vast tarief")),J105*L105,AND(N105&gt;0,H105="-"),N105),"")</f>
        <v/>
      </c>
      <c r="Q105" s="265" t="str" cm="1">
        <f t="array" aca="1" ref="Q105" ca="1">_xlfn.IFNA(_xlfn.IFS(T105="Dit kostentype hoeft u niet op te geven. Hiervoor wordt een forfait berekend.","",AND(K105&lt;&gt;"",M105&lt;&gt;"",OR(H105="Uurtarief",H105="Vast tarief")),K105*M105,AND(O105&lt;&gt;"",H105="-"),O105),"")</f>
        <v/>
      </c>
      <c r="R105" s="265"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5"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6" t="str">
        <f>IFERROR(VLOOKUP(F105,Tb_ProjectKosten[#All],11,0),"")</f>
        <v/>
      </c>
      <c r="U105" s="257"/>
    </row>
    <row r="106" spans="1:21" ht="15" customHeight="1" x14ac:dyDescent="0.2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89" priority="90">
      <formula>AND($Q6&lt;&gt;"",$Q6&lt;&gt;0,$B6="")</formula>
    </cfRule>
  </conditionalFormatting>
  <conditionalFormatting sqref="C6:C105">
    <cfRule type="expression" dxfId="88" priority="89">
      <formula>AND($Q6&lt;&gt;"",$Q6&lt;&gt;0,$C6="")</formula>
    </cfRule>
  </conditionalFormatting>
  <conditionalFormatting sqref="E6:E105">
    <cfRule type="expression" dxfId="87" priority="91">
      <formula>AND($Q6&lt;&gt;"",$Q6&lt;&gt;0,$E6="")</formula>
    </cfRule>
  </conditionalFormatting>
  <conditionalFormatting sqref="G6:G105">
    <cfRule type="expression" dxfId="85" priority="4">
      <formula>$F6="Arbeidskosten"</formula>
    </cfRule>
    <cfRule type="expression" dxfId="84" priority="6" stopIfTrue="1">
      <formula>AND($H6&lt;&gt;"",$H6&lt;&gt;"Uurtarief",$H6&lt;&gt;"Vast tarief")</formula>
    </cfRule>
    <cfRule type="expression" dxfId="83" priority="11" stopIfTrue="1">
      <formula>AND($F6&lt;&gt;"",LEFT($C$2,15)="Kies een bereken'")</formula>
    </cfRule>
    <cfRule type="expression" dxfId="82" priority="15" stopIfTrue="1">
      <formula>$T6&lt;&gt;""</formula>
    </cfRule>
  </conditionalFormatting>
  <conditionalFormatting sqref="H6:H105 J6:K105">
    <cfRule type="expression" dxfId="81" priority="5">
      <formula>RIGHT($H6,6)="tarief"</formula>
    </cfRule>
  </conditionalFormatting>
  <conditionalFormatting sqref="I6:M105">
    <cfRule type="expression" dxfId="80" priority="95" stopIfTrue="1">
      <formula>AND($H6&lt;&gt;"",$H6&lt;&gt;"Uurtarief",$H6&lt;&gt;"Vast tarief")</formula>
    </cfRule>
    <cfRule type="expression" dxfId="79" priority="96" stopIfTrue="1">
      <formula>AND($F6&lt;&gt;"",LEFT($C$2,15)="Kies een bereken'")</formula>
    </cfRule>
    <cfRule type="expression" dxfId="78" priority="97" stopIfTrue="1">
      <formula>$T6&lt;&gt;""</formula>
    </cfRule>
  </conditionalFormatting>
  <conditionalFormatting sqref="J6:K105">
    <cfRule type="expression" dxfId="77" priority="93" stopIfTrue="1">
      <formula>AND($D6&lt;&gt;"",$C$2="Kies een berekeningsmethode op tabblad 'Begrotingsoverzicht'")</formula>
    </cfRule>
    <cfRule type="expression" dxfId="76" priority="94" stopIfTrue="1">
      <formula>$O6="Dit kostentype hoeft u niet op te geven. Hiervoor wordt een forfait berekend."</formula>
    </cfRule>
    <cfRule type="expression" dxfId="75" priority="107" stopIfTrue="1">
      <formula>AND($D6&lt;&gt;"",$C$2="Kies een berekeningsmethode op tabblad 'Begrotingsoverzicht'")</formula>
    </cfRule>
  </conditionalFormatting>
  <conditionalFormatting sqref="L6:M105 I6:I105">
    <cfRule type="expression" dxfId="74" priority="38">
      <formula>$H6="Uurtarief"</formula>
    </cfRule>
  </conditionalFormatting>
  <conditionalFormatting sqref="L6:M105">
    <cfRule type="expression" dxfId="73" priority="39">
      <formula>$H6="Vast tarief"</formula>
    </cfRule>
  </conditionalFormatting>
  <conditionalFormatting sqref="L6:S105">
    <cfRule type="expression" dxfId="72" priority="3">
      <formula>$T6&lt;&gt;""</formula>
    </cfRule>
  </conditionalFormatting>
  <conditionalFormatting sqref="N6:O105">
    <cfRule type="expression" dxfId="71"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&amp;L&amp;F  &amp;A&amp;R&amp;P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25"/>
  <cols>
    <col min="1" max="1" width="2.85546875" style="37" customWidth="1"/>
    <col min="2" max="2" width="56" style="37" customWidth="1"/>
    <col min="3" max="3" width="33.140625" style="37" customWidth="1"/>
    <col min="4" max="10" width="30.7109375" style="37" customWidth="1"/>
    <col min="11" max="11" width="16.85546875" style="37" hidden="1" customWidth="1"/>
    <col min="12" max="12" width="27.28515625" style="37" hidden="1" customWidth="1"/>
    <col min="13" max="14" width="84.85546875" style="37" hidden="1" customWidth="1"/>
    <col min="15" max="15" width="46.28515625" style="37" hidden="1" customWidth="1"/>
    <col min="16" max="16" width="12.5703125" style="37" hidden="1" customWidth="1"/>
    <col min="17" max="17" width="25.85546875" style="37" hidden="1" customWidth="1"/>
    <col min="18" max="21" width="9.140625" style="37" hidden="1" customWidth="1"/>
    <col min="22" max="22" width="14.28515625" style="37" hidden="1" customWidth="1"/>
    <col min="23" max="23" width="9.140625" style="37" hidden="1" customWidth="1"/>
    <col min="24" max="26" width="11.5703125" style="37" hidden="1" customWidth="1"/>
    <col min="27" max="16384" width="9.140625" style="37" hidden="1"/>
  </cols>
  <sheetData>
    <row r="1" spans="2:10" ht="4.5" customHeight="1" x14ac:dyDescent="0.25">
      <c r="B1" s="36"/>
      <c r="C1" s="281" t="str">
        <f>IF($C$2="","Kies op tabblad '1. Aanvraag gegevens' de juiste openstelling","")</f>
        <v>Kies op tabblad '1. Aanvraag gegevens' de juiste openstelling</v>
      </c>
      <c r="D1" s="36"/>
    </row>
    <row r="2" spans="2:10" x14ac:dyDescent="0.25">
      <c r="B2" s="24" t="s">
        <v>192</v>
      </c>
      <c r="C2" s="357" t="str">
        <f>IF('1. Aanvraaggegevens'!C2&lt;&gt;"",'1. Aanvraaggegevens'!C2,"")</f>
        <v/>
      </c>
      <c r="D2" s="357"/>
    </row>
    <row r="3" spans="2:10" ht="15" customHeight="1" x14ac:dyDescent="0.25">
      <c r="B3" s="24" t="s">
        <v>189</v>
      </c>
      <c r="C3" s="358" t="str">
        <f>IF('1. Aanvraaggegevens'!C3&lt;&gt;"",'1. Aanvraaggegevens'!C3,"")</f>
        <v/>
      </c>
      <c r="D3" s="358"/>
    </row>
    <row r="4" spans="2:10" ht="15" customHeight="1" x14ac:dyDescent="0.25">
      <c r="B4" s="24" t="s">
        <v>190</v>
      </c>
      <c r="C4" s="358" t="str">
        <f>IF('1. Aanvraaggegevens'!C4&lt;&gt;"",'1. Aanvraaggegevens'!C4,"")</f>
        <v/>
      </c>
      <c r="D4" s="358"/>
    </row>
    <row r="5" spans="2:10" ht="15" customHeight="1" x14ac:dyDescent="0.25">
      <c r="B5" s="24" t="s">
        <v>191</v>
      </c>
      <c r="C5" s="358" t="str">
        <f>IF('1. Aanvraaggegevens'!C5&lt;&gt;"",'1. Aanvraaggegevens'!C5,"")</f>
        <v/>
      </c>
      <c r="D5" s="358"/>
    </row>
    <row r="6" spans="2:10" ht="15" customHeight="1" x14ac:dyDescent="0.25">
      <c r="B6" s="6"/>
      <c r="C6" s="359" t="str">
        <f>IF('1. Aanvraaggegevens'!C6&lt;&gt;"",'1. Aanvraaggegevens'!C6,"")</f>
        <v/>
      </c>
      <c r="D6" s="359"/>
    </row>
    <row r="7" spans="2:10" ht="4.5" customHeight="1" x14ac:dyDescent="0.25">
      <c r="C7" s="38"/>
      <c r="D7" s="38"/>
    </row>
    <row r="8" spans="2:10" ht="15" customHeight="1" x14ac:dyDescent="0.25">
      <c r="B8" s="209" t="s">
        <v>188</v>
      </c>
      <c r="C8" s="356" t="str">
        <f>IF('1. Aanvraaggegevens'!C8&lt;&gt;"",'1. Aanvraaggegevens'!C8,"")</f>
        <v/>
      </c>
      <c r="D8" s="356"/>
    </row>
    <row r="9" spans="2:10" ht="21.75" customHeight="1" x14ac:dyDescent="0.25">
      <c r="B9" s="227"/>
      <c r="C9" s="227"/>
      <c r="D9" s="247" t="s">
        <v>255</v>
      </c>
      <c r="E9" s="227"/>
      <c r="F9" s="227"/>
      <c r="G9" s="227"/>
      <c r="H9" s="227"/>
      <c r="I9" s="227"/>
    </row>
    <row r="10" spans="2:10" ht="30" customHeight="1" x14ac:dyDescent="0.25">
      <c r="B10" s="285" t="s">
        <v>0</v>
      </c>
      <c r="C10" s="282" t="s">
        <v>229</v>
      </c>
      <c r="D10" s="283" t="str" cm="1">
        <f t="array" aca="1" ref="D10" ca="1">TRANSPOSE(Activiteiten_Uniek_Aanvraag)</f>
        <v/>
      </c>
      <c r="E10" s="283"/>
      <c r="F10" s="283"/>
      <c r="G10" s="283"/>
      <c r="H10" s="283"/>
      <c r="I10" s="283"/>
      <c r="J10" s="284"/>
    </row>
    <row r="11" spans="2:10" ht="15" customHeight="1" x14ac:dyDescent="0.25">
      <c r="B11" s="299" t="s">
        <v>8</v>
      </c>
      <c r="C11" s="127">
        <f>SUMIF(Tb_ProjectKosten[Begroting],'6. Begrotingsoverzicht'!B11,Tb_ProjectKosten[Kosten_Aanvraag])</f>
        <v>0</v>
      </c>
      <c r="D11" s="123" t="str">
        <f ca="1">IF(AND($C11&lt;&gt;0,D$10&lt;&gt;""),SUMIFS(SubsidieTabel!$F:$F,SubsidieTabel!$A:$A,D$10,SubsidieTabel!$C:$C,$B11),"")</f>
        <v/>
      </c>
      <c r="E11" s="123" t="str">
        <f>IF(AND($C11&lt;&gt;0,E$10&lt;&gt;""),SUMIFS(SubsidieTabel!$F:$F,SubsidieTabel!$A:$A,E$10,SubsidieTabel!$C:$C,$B11),"")</f>
        <v/>
      </c>
      <c r="F11" s="123" t="str">
        <f>IF(AND($C11&lt;&gt;0,F$10&lt;&gt;""),SUMIFS(SubsidieTabel!$F:$F,SubsidieTabel!$A:$A,F$10,SubsidieTabel!$C:$C,$B11),"")</f>
        <v/>
      </c>
      <c r="G11" s="123" t="str">
        <f>IF(AND($C11&lt;&gt;0,G$10&lt;&gt;""),SUMIFS(SubsidieTabel!$F:$F,SubsidieTabel!$A:$A,G$10,SubsidieTabel!$C:$C,$B11),"")</f>
        <v/>
      </c>
      <c r="H11" s="123" t="str">
        <f>IF(AND($C11&lt;&gt;0,H$10&lt;&gt;""),SUMIFS(SubsidieTabel!$F:$F,SubsidieTabel!$A:$A,H$10,SubsidieTabel!$C:$C,$B11),"")</f>
        <v/>
      </c>
      <c r="I11" s="123" t="str">
        <f>IF(AND($C11&lt;&gt;0,I$10&lt;&gt;""),SUMIFS(SubsidieTabel!$F:$F,SubsidieTabel!$A:$A,I$10,SubsidieTabel!$C:$C,$B11),"")</f>
        <v/>
      </c>
      <c r="J11" s="123" t="str">
        <f>IF(AND($C11&lt;&gt;0,J$10&lt;&gt;""),SUMIFS(SubsidieTabel!$F:$F,SubsidieTabel!$A:$A,J$10,SubsidieTabel!$C:$C,$B11),"")</f>
        <v/>
      </c>
    </row>
    <row r="12" spans="2:10" ht="15" customHeight="1" x14ac:dyDescent="0.25">
      <c r="B12" s="299" t="s">
        <v>91</v>
      </c>
      <c r="C12" s="127">
        <f>SUMIF(Tb_ProjectKosten[Begroting],'6. Begrotingsoverzicht'!B12,Tb_ProjectKosten[Kosten_Aanvraag])</f>
        <v>0</v>
      </c>
      <c r="D12" s="123" t="str">
        <f ca="1">IF(AND($C12&lt;&gt;0,D$10&lt;&gt;""),SUMIFS(SubsidieTabel!$F:$F,SubsidieTabel!$A:$A,D$10,SubsidieTabel!$C:$C,$B12),"")</f>
        <v/>
      </c>
      <c r="E12" s="123" t="str">
        <f>IF(AND($C12&lt;&gt;0,E$10&lt;&gt;""),SUMIFS(SubsidieTabel!$F:$F,SubsidieTabel!$A:$A,E$10,SubsidieTabel!$C:$C,$B12),"")</f>
        <v/>
      </c>
      <c r="F12" s="123" t="str">
        <f>IF(AND($C12&lt;&gt;0,F$10&lt;&gt;""),SUMIFS(SubsidieTabel!$F:$F,SubsidieTabel!$A:$A,F$10,SubsidieTabel!$C:$C,$B12),"")</f>
        <v/>
      </c>
      <c r="G12" s="123" t="str">
        <f>IF(AND($C12&lt;&gt;0,G$10&lt;&gt;""),SUMIFS(SubsidieTabel!$F:$F,SubsidieTabel!$A:$A,G$10,SubsidieTabel!$C:$C,$B12),"")</f>
        <v/>
      </c>
      <c r="H12" s="123" t="str">
        <f>IF(AND($C12&lt;&gt;0,H$10&lt;&gt;""),SUMIFS(SubsidieTabel!$F:$F,SubsidieTabel!$A:$A,H$10,SubsidieTabel!$C:$C,$B12),"")</f>
        <v/>
      </c>
      <c r="I12" s="123" t="str">
        <f>IF(AND($C12&lt;&gt;0,I$10&lt;&gt;""),SUMIFS(SubsidieTabel!$F:$F,SubsidieTabel!$A:$A,I$10,SubsidieTabel!$C:$C,$B12),"")</f>
        <v/>
      </c>
      <c r="J12" s="123" t="str">
        <f>IF(AND($C12&lt;&gt;0,J$10&lt;&gt;""),SUMIFS(SubsidieTabel!$F:$F,SubsidieTabel!$A:$A,J$10,SubsidieTabel!$C:$C,$B12),"")</f>
        <v/>
      </c>
    </row>
    <row r="13" spans="2:10" ht="15" customHeight="1" x14ac:dyDescent="0.25">
      <c r="B13" s="9" t="s">
        <v>28</v>
      </c>
      <c r="C13" s="127">
        <f>SUMIF(Tb_ProjectKosten[Begroting],'6. Begrotingsoverzicht'!B13,Tb_ProjectKosten[Kosten_Aanvraag])</f>
        <v>0</v>
      </c>
      <c r="D13" s="123" t="str">
        <f ca="1">IF(AND($C13&lt;&gt;0,D$10&lt;&gt;""),SUMIFS(SubsidieTabel!$F:$F,SubsidieTabel!$A:$A,D$10,SubsidieTabel!$C:$C,$B13),"")</f>
        <v/>
      </c>
      <c r="E13" s="123" t="str">
        <f>IF(AND($C13&lt;&gt;0,E$10&lt;&gt;""),SUMIFS(SubsidieTabel!$F:$F,SubsidieTabel!$A:$A,E$10,SubsidieTabel!$C:$C,$B13),"")</f>
        <v/>
      </c>
      <c r="F13" s="123" t="str">
        <f>IF(AND($C13&lt;&gt;0,F$10&lt;&gt;""),SUMIFS(SubsidieTabel!$F:$F,SubsidieTabel!$A:$A,F$10,SubsidieTabel!$C:$C,$B13),"")</f>
        <v/>
      </c>
      <c r="G13" s="123" t="str">
        <f>IF(AND($C13&lt;&gt;0,G$10&lt;&gt;""),SUMIFS(SubsidieTabel!$F:$F,SubsidieTabel!$A:$A,G$10,SubsidieTabel!$C:$C,$B13),"")</f>
        <v/>
      </c>
      <c r="H13" s="123" t="str">
        <f>IF(AND($C13&lt;&gt;0,H$10&lt;&gt;""),SUMIFS(SubsidieTabel!$F:$F,SubsidieTabel!$A:$A,H$10,SubsidieTabel!$C:$C,$B13),"")</f>
        <v/>
      </c>
      <c r="I13" s="123" t="str">
        <f>IF(AND($C13&lt;&gt;0,I$10&lt;&gt;""),SUMIFS(SubsidieTabel!$F:$F,SubsidieTabel!$A:$A,I$10,SubsidieTabel!$C:$C,$B13),"")</f>
        <v/>
      </c>
      <c r="J13" s="123" t="str">
        <f>IF(AND($C13&lt;&gt;0,J$10&lt;&gt;""),SUMIFS(SubsidieTabel!$F:$F,SubsidieTabel!$A:$A,J$10,SubsidieTabel!$C:$C,$B13),"")</f>
        <v/>
      </c>
    </row>
    <row r="14" spans="2:10" ht="15" customHeight="1" x14ac:dyDescent="0.25">
      <c r="B14" s="9" t="s">
        <v>11</v>
      </c>
      <c r="C14" s="127">
        <f>SUMIF(Tb_ProjectKosten[Begroting],'6. Begrotingsoverzicht'!B14,Tb_ProjectKosten[Kosten_Aanvraag])</f>
        <v>0</v>
      </c>
      <c r="D14" s="123" t="str">
        <f ca="1">IF(AND($C14&lt;&gt;0,D$10&lt;&gt;""),SUMIFS(SubsidieTabel!$F:$F,SubsidieTabel!$A:$A,D$10,SubsidieTabel!$C:$C,$B14),"")</f>
        <v/>
      </c>
      <c r="E14" s="123" t="str">
        <f>IF(AND($C14&lt;&gt;0,E$10&lt;&gt;""),SUMIFS(SubsidieTabel!$F:$F,SubsidieTabel!$A:$A,E$10,SubsidieTabel!$C:$C,$B14),"")</f>
        <v/>
      </c>
      <c r="F14" s="123" t="str">
        <f>IF(AND($C14&lt;&gt;0,F$10&lt;&gt;""),SUMIFS(SubsidieTabel!$F:$F,SubsidieTabel!$A:$A,F$10,SubsidieTabel!$C:$C,$B14),"")</f>
        <v/>
      </c>
      <c r="G14" s="123" t="str">
        <f>IF(AND($C14&lt;&gt;0,G$10&lt;&gt;""),SUMIFS(SubsidieTabel!$F:$F,SubsidieTabel!$A:$A,G$10,SubsidieTabel!$C:$C,$B14),"")</f>
        <v/>
      </c>
      <c r="H14" s="123" t="str">
        <f>IF(AND($C14&lt;&gt;0,H$10&lt;&gt;""),SUMIFS(SubsidieTabel!$F:$F,SubsidieTabel!$A:$A,H$10,SubsidieTabel!$C:$C,$B14),"")</f>
        <v/>
      </c>
      <c r="I14" s="123" t="str">
        <f>IF(AND($C14&lt;&gt;0,I$10&lt;&gt;""),SUMIFS(SubsidieTabel!$F:$F,SubsidieTabel!$A:$A,I$10,SubsidieTabel!$C:$C,$B14),"")</f>
        <v/>
      </c>
      <c r="J14" s="123" t="str">
        <f>IF(AND($C14&lt;&gt;0,J$10&lt;&gt;""),SUMIFS(SubsidieTabel!$F:$F,SubsidieTabel!$A:$A,J$10,SubsidieTabel!$C:$C,$B14),"")</f>
        <v/>
      </c>
    </row>
    <row r="15" spans="2:10" ht="15" customHeight="1" x14ac:dyDescent="0.25">
      <c r="B15" s="9" t="s">
        <v>106</v>
      </c>
      <c r="C15" s="127">
        <f>SUMIF(Tb_ProjectKosten[Begroting],'6. Begrotingsoverzicht'!B15,Tb_ProjectKosten[Kosten_Aanvraag])</f>
        <v>0</v>
      </c>
      <c r="D15" s="123" t="str">
        <f ca="1">IF(AND($C15&lt;&gt;0,D$10&lt;&gt;""),SUMIFS(SubsidieTabel!$F:$F,SubsidieTabel!$A:$A,D$10,SubsidieTabel!$C:$C,$B15),"")</f>
        <v/>
      </c>
      <c r="E15" s="123" t="str">
        <f>IF(AND($C15&lt;&gt;0,E$10&lt;&gt;""),SUMIFS(SubsidieTabel!$F:$F,SubsidieTabel!$A:$A,E$10,SubsidieTabel!$C:$C,$B15),"")</f>
        <v/>
      </c>
      <c r="F15" s="123" t="str">
        <f>IF(AND($C15&lt;&gt;0,F$10&lt;&gt;""),SUMIFS(SubsidieTabel!$F:$F,SubsidieTabel!$A:$A,F$10,SubsidieTabel!$C:$C,$B15),"")</f>
        <v/>
      </c>
      <c r="G15" s="123" t="str">
        <f>IF(AND($C15&lt;&gt;0,G$10&lt;&gt;""),SUMIFS(SubsidieTabel!$F:$F,SubsidieTabel!$A:$A,G$10,SubsidieTabel!$C:$C,$B15),"")</f>
        <v/>
      </c>
      <c r="H15" s="123" t="str">
        <f>IF(AND($C15&lt;&gt;0,H$10&lt;&gt;""),SUMIFS(SubsidieTabel!$F:$F,SubsidieTabel!$A:$A,H$10,SubsidieTabel!$C:$C,$B15),"")</f>
        <v/>
      </c>
      <c r="I15" s="123" t="str">
        <f>IF(AND($C15&lt;&gt;0,I$10&lt;&gt;""),SUMIFS(SubsidieTabel!$F:$F,SubsidieTabel!$A:$A,I$10,SubsidieTabel!$C:$C,$B15),"")</f>
        <v/>
      </c>
      <c r="J15" s="123" t="str">
        <f>IF(AND($C15&lt;&gt;0,J$10&lt;&gt;""),SUMIFS(SubsidieTabel!$F:$F,SubsidieTabel!$A:$A,J$10,SubsidieTabel!$C:$C,$B15),"")</f>
        <v/>
      </c>
    </row>
    <row r="16" spans="2:10" ht="15" customHeight="1" x14ac:dyDescent="0.25">
      <c r="B16" s="9" t="s">
        <v>107</v>
      </c>
      <c r="C16" s="127">
        <f>SUMIF(Tb_ProjectKosten[Begroting],'6. Begrotingsoverzicht'!B16,Tb_ProjectKosten[Kosten_Aanvraag])</f>
        <v>0</v>
      </c>
      <c r="D16" s="123" t="str">
        <f ca="1">IF(AND($C16&lt;&gt;0,D$10&lt;&gt;""),SUMIFS(SubsidieTabel!$F:$F,SubsidieTabel!$A:$A,D$10,SubsidieTabel!$C:$C,$B16),"")</f>
        <v/>
      </c>
      <c r="E16" s="123" t="str">
        <f>IF(AND($C16&lt;&gt;0,E$10&lt;&gt;""),SUMIFS(SubsidieTabel!$F:$F,SubsidieTabel!$A:$A,E$10,SubsidieTabel!$C:$C,$B16),"")</f>
        <v/>
      </c>
      <c r="F16" s="123" t="str">
        <f>IF(AND($C16&lt;&gt;0,F$10&lt;&gt;""),SUMIFS(SubsidieTabel!$F:$F,SubsidieTabel!$A:$A,F$10,SubsidieTabel!$C:$C,$B16),"")</f>
        <v/>
      </c>
      <c r="G16" s="123" t="str">
        <f>IF(AND($C16&lt;&gt;0,G$10&lt;&gt;""),SUMIFS(SubsidieTabel!$F:$F,SubsidieTabel!$A:$A,G$10,SubsidieTabel!$C:$C,$B16),"")</f>
        <v/>
      </c>
      <c r="H16" s="123" t="str">
        <f>IF(AND($C16&lt;&gt;0,H$10&lt;&gt;""),SUMIFS(SubsidieTabel!$F:$F,SubsidieTabel!$A:$A,H$10,SubsidieTabel!$C:$C,$B16),"")</f>
        <v/>
      </c>
      <c r="I16" s="123" t="str">
        <f>IF(AND($C16&lt;&gt;0,I$10&lt;&gt;""),SUMIFS(SubsidieTabel!$F:$F,SubsidieTabel!$A:$A,I$10,SubsidieTabel!$C:$C,$B16),"")</f>
        <v/>
      </c>
      <c r="J16" s="123" t="str">
        <f>IF(AND($C16&lt;&gt;0,J$10&lt;&gt;""),SUMIFS(SubsidieTabel!$F:$F,SubsidieTabel!$A:$A,J$10,SubsidieTabel!$C:$C,$B16),"")</f>
        <v/>
      </c>
    </row>
    <row r="17" spans="2:27" ht="15" customHeight="1" x14ac:dyDescent="0.25">
      <c r="B17" s="9" t="s">
        <v>3</v>
      </c>
      <c r="C17" s="127">
        <f>SUMIF(Tb_ProjectKosten[Begroting],'6. Begrotingsoverzicht'!B17,Tb_ProjectKosten[Kosten_Aanvraag])</f>
        <v>0</v>
      </c>
      <c r="D17" s="123" t="str">
        <f ca="1">IF(AND($C17&lt;&gt;0,D$10&lt;&gt;""),SUMIFS(SubsidieTabel!$F:$F,SubsidieTabel!$A:$A,D$10,SubsidieTabel!$C:$C,$B17),"")</f>
        <v/>
      </c>
      <c r="E17" s="123" t="str">
        <f>IF(AND($C17&lt;&gt;0,E$10&lt;&gt;""),SUMIFS(SubsidieTabel!$F:$F,SubsidieTabel!$A:$A,E$10,SubsidieTabel!$C:$C,$B17),"")</f>
        <v/>
      </c>
      <c r="F17" s="123" t="str">
        <f>IF(AND($C17&lt;&gt;0,F$10&lt;&gt;""),SUMIFS(SubsidieTabel!$F:$F,SubsidieTabel!$A:$A,F$10,SubsidieTabel!$C:$C,$B17),"")</f>
        <v/>
      </c>
      <c r="G17" s="123" t="str">
        <f>IF(AND($C17&lt;&gt;0,G$10&lt;&gt;""),SUMIFS(SubsidieTabel!$F:$F,SubsidieTabel!$A:$A,G$10,SubsidieTabel!$C:$C,$B17),"")</f>
        <v/>
      </c>
      <c r="H17" s="123" t="str">
        <f>IF(AND($C17&lt;&gt;0,H$10&lt;&gt;""),SUMIFS(SubsidieTabel!$F:$F,SubsidieTabel!$A:$A,H$10,SubsidieTabel!$C:$C,$B17),"")</f>
        <v/>
      </c>
      <c r="I17" s="123" t="str">
        <f>IF(AND($C17&lt;&gt;0,I$10&lt;&gt;""),SUMIFS(SubsidieTabel!$F:$F,SubsidieTabel!$A:$A,I$10,SubsidieTabel!$C:$C,$B17),"")</f>
        <v/>
      </c>
      <c r="J17" s="123" t="str">
        <f>IF(AND($C17&lt;&gt;0,J$10&lt;&gt;""),SUMIFS(SubsidieTabel!$F:$F,SubsidieTabel!$A:$A,J$10,SubsidieTabel!$C:$C,$B17),"")</f>
        <v/>
      </c>
    </row>
    <row r="18" spans="2:27" ht="15" customHeight="1" x14ac:dyDescent="0.25">
      <c r="B18" s="9" t="s">
        <v>27</v>
      </c>
      <c r="C18" s="127">
        <f>SUMIF(Tb_ProjectKosten[Begroting],'6. Begrotingsoverzicht'!B18,Tb_ProjectKosten[Kosten_Aanvraag])</f>
        <v>0</v>
      </c>
      <c r="D18" s="123" t="str">
        <f ca="1">IF(AND($C18&lt;&gt;0,D$10&lt;&gt;""),SUMIFS(SubsidieTabel!$F:$F,SubsidieTabel!$A:$A,D$10,SubsidieTabel!$C:$C,$B18),"")</f>
        <v/>
      </c>
      <c r="E18" s="123" t="str">
        <f>IF(AND($C18&lt;&gt;0,E$10&lt;&gt;""),SUMIFS(SubsidieTabel!$F:$F,SubsidieTabel!$A:$A,E$10,SubsidieTabel!$C:$C,$B18),"")</f>
        <v/>
      </c>
      <c r="F18" s="123" t="str">
        <f>IF(AND($C18&lt;&gt;0,F$10&lt;&gt;""),SUMIFS(SubsidieTabel!$F:$F,SubsidieTabel!$A:$A,F$10,SubsidieTabel!$C:$C,$B18),"")</f>
        <v/>
      </c>
      <c r="G18" s="123" t="str">
        <f>IF(AND($C18&lt;&gt;0,G$10&lt;&gt;""),SUMIFS(SubsidieTabel!$F:$F,SubsidieTabel!$A:$A,G$10,SubsidieTabel!$C:$C,$B18),"")</f>
        <v/>
      </c>
      <c r="H18" s="123" t="str">
        <f>IF(AND($C18&lt;&gt;0,H$10&lt;&gt;""),SUMIFS(SubsidieTabel!$F:$F,SubsidieTabel!$A:$A,H$10,SubsidieTabel!$C:$C,$B18),"")</f>
        <v/>
      </c>
      <c r="I18" s="123" t="str">
        <f>IF(AND($C18&lt;&gt;0,I$10&lt;&gt;""),SUMIFS(SubsidieTabel!$F:$F,SubsidieTabel!$A:$A,I$10,SubsidieTabel!$C:$C,$B18),"")</f>
        <v/>
      </c>
      <c r="J18" s="123" t="str">
        <f>IF(AND($C18&lt;&gt;0,J$10&lt;&gt;""),SUMIFS(SubsidieTabel!$F:$F,SubsidieTabel!$A:$A,J$10,SubsidieTabel!$C:$C,$B18),"")</f>
        <v/>
      </c>
    </row>
    <row r="19" spans="2:27" ht="15" customHeight="1" x14ac:dyDescent="0.25">
      <c r="B19" s="11" t="s">
        <v>21</v>
      </c>
      <c r="C19" s="228">
        <f>SUM(C11:C18)</f>
        <v>0</v>
      </c>
      <c r="D19" s="224" t="str">
        <f ca="1">IF(SUM(D11:D18)=0,"",SUM(D11:D18))</f>
        <v/>
      </c>
      <c r="E19" s="224" t="str">
        <f t="shared" ref="E19:J19" si="0">IF(SUM(E11:E18)=0,"",SUM(E11:E18))</f>
        <v/>
      </c>
      <c r="F19" s="224" t="str">
        <f t="shared" si="0"/>
        <v/>
      </c>
      <c r="G19" s="224" t="str">
        <f t="shared" si="0"/>
        <v/>
      </c>
      <c r="H19" s="224" t="str">
        <f t="shared" si="0"/>
        <v/>
      </c>
      <c r="I19" s="224" t="str">
        <f t="shared" si="0"/>
        <v/>
      </c>
      <c r="J19" s="224" t="str">
        <f t="shared" si="0"/>
        <v/>
      </c>
    </row>
    <row r="20" spans="2:27" s="38" customFormat="1" ht="15" customHeight="1" x14ac:dyDescent="0.25">
      <c r="B20" s="126" t="str" cm="1">
        <f t="array" ref="B20">_xlfn.IFS(OR($C$8="",$C$8="Geen vereenvoudigde kostenoptie"),"Geen forfait",$C$8="Vereenvoudigde kostenoptie voor overige kosten","Forfait voor overige kosten",$C$8="Vereenvoudigde kostenoptie voor arbeidskosten","Forfait voor arbeidskosten")</f>
        <v>Geen forfait</v>
      </c>
      <c r="C20" s="125" t="str">
        <f>IF(SUM(Tb_ProjectKosten[Forfait_Bedrag])&gt;0,SUM(Tb_ProjectKosten[Forfait_Bedrag]),"")</f>
        <v/>
      </c>
      <c r="D20" s="123" t="str">
        <f ca="1">IF(AND($C$20&lt;&gt;"",D$10&lt;&gt;""),SUMIFS(SubsidieTabel!$H:$H,SubsidieTabel!$A:$A,D$10),"")</f>
        <v/>
      </c>
      <c r="E20" s="123" t="str">
        <f>IF(AND($C$20&lt;&gt;"",E$10&lt;&gt;""),SUMIFS(SubsidieTabel!$H:$H,SubsidieTabel!$A:$A,E$10),"")</f>
        <v/>
      </c>
      <c r="F20" s="123" t="str">
        <f>IF(AND($C$20&lt;&gt;"",F$10&lt;&gt;""),SUMIFS(SubsidieTabel!$H:$H,SubsidieTabel!$A:$A,F$10),"")</f>
        <v/>
      </c>
      <c r="G20" s="123" t="str">
        <f>IF(AND($C$20&lt;&gt;"",G$10&lt;&gt;""),SUMIFS(SubsidieTabel!$H:$H,SubsidieTabel!$A:$A,G$10),"")</f>
        <v/>
      </c>
      <c r="H20" s="123" t="str">
        <f>IF(AND($C$20&lt;&gt;"",H$10&lt;&gt;""),SUMIFS(SubsidieTabel!$H:$H,SubsidieTabel!$A:$A,H$10),"")</f>
        <v/>
      </c>
      <c r="I20" s="123" t="str">
        <f>IF(AND($C$20&lt;&gt;"",I$10&lt;&gt;""),SUMIFS(SubsidieTabel!$H:$H,SubsidieTabel!$A:$A,I$10),"")</f>
        <v/>
      </c>
      <c r="J20" s="123" t="str">
        <f>IF(AND($C$20&lt;&gt;"",J$10&lt;&gt;""),SUMIFS(SubsidieTabel!$H:$H,SubsidieTabel!$A:$A,J$10),"")</f>
        <v/>
      </c>
      <c r="S20" s="37"/>
      <c r="T20" s="37"/>
      <c r="U20" s="37"/>
      <c r="V20" s="37"/>
      <c r="W20" s="37"/>
      <c r="X20" s="37"/>
      <c r="Y20" s="37"/>
      <c r="Z20" s="37"/>
      <c r="AA20" s="37"/>
    </row>
    <row r="21" spans="2:27" s="38" customFormat="1" ht="15" customHeight="1" x14ac:dyDescent="0.25">
      <c r="B21" s="193" t="s">
        <v>88</v>
      </c>
      <c r="C21" s="228" cm="1">
        <f t="array" ref="C21">IFERROR(_xlfn.IFS(C19=0,0,$C$8="Geen vereenvoudigde kostenoptie",C19,$C$8="Vereenvoudigde kostenoptie voor arbeidskosten",SUM(C19:C20),$C$8="Vereenvoudigde kostenoptie voor overige kosten",C19+C20),0)</f>
        <v>0</v>
      </c>
      <c r="D21" s="224" t="str">
        <f ca="1">IF(SUM(D19:D20)=0,"",SUM(D19:D20))</f>
        <v/>
      </c>
      <c r="E21" s="224" t="str">
        <f t="shared" ref="E21:J21" si="1">IF(SUM(E19:E20)=0,"",SUM(E19:E20))</f>
        <v/>
      </c>
      <c r="F21" s="224" t="str">
        <f t="shared" si="1"/>
        <v/>
      </c>
      <c r="G21" s="224" t="str">
        <f t="shared" si="1"/>
        <v/>
      </c>
      <c r="H21" s="224" t="str">
        <f t="shared" si="1"/>
        <v/>
      </c>
      <c r="I21" s="224" t="str">
        <f t="shared" si="1"/>
        <v/>
      </c>
      <c r="J21" s="224" t="str">
        <f t="shared" si="1"/>
        <v/>
      </c>
      <c r="S21" s="37"/>
      <c r="T21" s="37"/>
      <c r="U21" s="37"/>
      <c r="V21" s="37"/>
      <c r="W21" s="37"/>
      <c r="X21" s="37"/>
      <c r="Y21" s="37"/>
      <c r="Z21" s="37"/>
      <c r="AA21" s="37"/>
    </row>
    <row r="22" spans="2:27" s="38" customFormat="1" ht="6" customHeight="1" x14ac:dyDescent="0.25">
      <c r="B22" s="52"/>
      <c r="C22" s="52"/>
      <c r="D22" s="53"/>
      <c r="S22" s="37"/>
      <c r="T22" s="37"/>
      <c r="U22" s="37"/>
      <c r="V22" s="37"/>
      <c r="W22" s="37"/>
      <c r="X22" s="37"/>
      <c r="Y22" s="37"/>
      <c r="Z22" s="37"/>
      <c r="AA22" s="37"/>
    </row>
    <row r="23" spans="2:27" s="38" customFormat="1" ht="6" customHeight="1" x14ac:dyDescent="0.25">
      <c r="B23" s="52"/>
      <c r="C23" s="54"/>
      <c r="D23" s="54"/>
      <c r="S23" s="37"/>
      <c r="T23" s="37"/>
      <c r="U23" s="37"/>
      <c r="V23" s="37"/>
      <c r="W23" s="37"/>
      <c r="X23" s="37"/>
      <c r="Y23" s="37"/>
      <c r="Z23" s="37"/>
      <c r="AA23" s="37"/>
    </row>
    <row r="24" spans="2:27" s="38" customFormat="1" ht="6" customHeight="1" x14ac:dyDescent="0.25">
      <c r="B24" s="55"/>
      <c r="C24" s="55"/>
      <c r="D24" s="56"/>
      <c r="S24" s="37"/>
      <c r="T24" s="37"/>
      <c r="U24" s="37"/>
      <c r="V24" s="37"/>
      <c r="W24" s="37"/>
      <c r="X24" s="37"/>
      <c r="Y24" s="37"/>
      <c r="Z24" s="37"/>
      <c r="AA24" s="37"/>
    </row>
    <row r="25" spans="2:27" ht="15" customHeight="1" x14ac:dyDescent="0.25">
      <c r="B25" s="113" t="s">
        <v>166</v>
      </c>
      <c r="C25" s="113" t="s">
        <v>136</v>
      </c>
      <c r="D25" s="113" t="s">
        <v>1</v>
      </c>
      <c r="E25" s="113" t="s">
        <v>144</v>
      </c>
    </row>
    <row r="26" spans="2:27" s="38" customFormat="1" ht="15" customHeight="1" x14ac:dyDescent="0.25">
      <c r="B26" s="107" t="str" cm="1">
        <f t="array" aca="1" ref="B26" ca="1">Activiteiten_Uniek_Aanvraag</f>
        <v/>
      </c>
      <c r="C26" s="108" t="str">
        <f ca="1">IF(B26&lt;&gt;"",SUMIFS('5. Kosten uitvoering project'!$P:$P,'5. Kosten uitvoering project'!$E:$E,'6. Begrotingsoverzicht'!B26)+SUMIFS('5. Kosten uitvoering project'!$R:$R,'5. Kosten uitvoering project'!$E:$E,'6. Begrotingsoverzicht'!B26),"")</f>
        <v/>
      </c>
      <c r="D26" s="109" t="str">
        <f ca="1">IFERROR(VLOOKUP(B26,Lijsten!$AD:$AE,2,0),"")</f>
        <v/>
      </c>
      <c r="E26" s="108" t="str">
        <f ca="1">IF(PRODUCT(C26,D26)&lt;&gt;0,PRODUCT(C26,D26),"")</f>
        <v/>
      </c>
      <c r="S26" s="37"/>
      <c r="T26" s="37"/>
      <c r="U26" s="37"/>
      <c r="V26" s="37"/>
      <c r="W26" s="37"/>
      <c r="X26" s="37"/>
      <c r="Y26" s="37"/>
      <c r="Z26" s="37"/>
      <c r="AA26" s="37"/>
    </row>
    <row r="27" spans="2:27" s="38" customFormat="1" ht="15" customHeight="1" x14ac:dyDescent="0.25">
      <c r="B27" s="107"/>
      <c r="C27" s="108" t="str">
        <f>IF(B27&lt;&gt;"",SUMIFS('5. Kosten uitvoering project'!$P:$P,'5. Kosten uitvoering project'!$E:$E,'6. Begrotingsoverzicht'!B27)+SUMIFS('5. Kosten uitvoering project'!$R:$R,'5. Kosten uitvoering project'!$E:$E,'6. Begrotingsoverzicht'!B27),"")</f>
        <v/>
      </c>
      <c r="D27" s="109" t="str">
        <f>IFERROR(VLOOKUP(B27,Lijsten!$AD:$AE,2,0),"")</f>
        <v/>
      </c>
      <c r="E27" s="108" t="str">
        <f t="shared" ref="E27:E33" si="2">IF(PRODUCT(C27,D27)&lt;&gt;0,PRODUCT(C27,D27),"")</f>
        <v/>
      </c>
      <c r="S27" s="37"/>
      <c r="T27" s="37"/>
      <c r="U27" s="37"/>
      <c r="V27" s="37"/>
      <c r="W27" s="37"/>
      <c r="X27" s="37"/>
      <c r="Y27" s="37"/>
      <c r="Z27" s="37"/>
      <c r="AA27" s="37"/>
    </row>
    <row r="28" spans="2:27" s="38" customFormat="1" ht="15" customHeight="1" x14ac:dyDescent="0.25">
      <c r="B28" s="107"/>
      <c r="C28" s="108" t="str">
        <f>IF(B28&lt;&gt;"",SUMIFS('5. Kosten uitvoering project'!$P:$P,'5. Kosten uitvoering project'!$E:$E,'6. Begrotingsoverzicht'!B28)+SUMIFS('5. Kosten uitvoering project'!$R:$R,'5. Kosten uitvoering project'!$E:$E,'6. Begrotingsoverzicht'!B28),"")</f>
        <v/>
      </c>
      <c r="D28" s="109" t="str">
        <f>IFERROR(VLOOKUP(B28,Lijsten!$AD:$AE,2,0),"")</f>
        <v/>
      </c>
      <c r="E28" s="108" t="str">
        <f t="shared" si="2"/>
        <v/>
      </c>
      <c r="S28" s="37"/>
      <c r="T28" s="37"/>
      <c r="U28" s="37"/>
      <c r="V28" s="37"/>
      <c r="W28" s="37"/>
      <c r="X28" s="37"/>
      <c r="Y28" s="37"/>
      <c r="Z28" s="37"/>
      <c r="AA28" s="37"/>
    </row>
    <row r="29" spans="2:27" s="38" customFormat="1" ht="15" customHeight="1" x14ac:dyDescent="0.25">
      <c r="B29" s="107"/>
      <c r="C29" s="108" t="str">
        <f>IF(B29&lt;&gt;"",SUMIFS('5. Kosten uitvoering project'!$P:$P,'5. Kosten uitvoering project'!$E:$E,'6. Begrotingsoverzicht'!B29)+SUMIFS('5. Kosten uitvoering project'!$R:$R,'5. Kosten uitvoering project'!$E:$E,'6. Begrotingsoverzicht'!B29),"")</f>
        <v/>
      </c>
      <c r="D29" s="109" t="str">
        <f>IFERROR(VLOOKUP(B29,Lijsten!$AD:$AE,2,0),"")</f>
        <v/>
      </c>
      <c r="E29" s="108" t="str">
        <f t="shared" si="2"/>
        <v/>
      </c>
      <c r="S29" s="37"/>
      <c r="T29" s="37"/>
      <c r="U29" s="37"/>
      <c r="V29" s="37"/>
      <c r="W29" s="37"/>
      <c r="X29" s="37"/>
      <c r="Y29" s="37"/>
      <c r="Z29" s="37"/>
      <c r="AA29" s="37"/>
    </row>
    <row r="30" spans="2:27" s="38" customFormat="1" ht="15" customHeight="1" x14ac:dyDescent="0.25">
      <c r="B30" s="107"/>
      <c r="C30" s="108" t="str">
        <f>IF(B30&lt;&gt;"",SUMIFS('5. Kosten uitvoering project'!$P:$P,'5. Kosten uitvoering project'!$E:$E,'6. Begrotingsoverzicht'!B30)+SUMIFS('5. Kosten uitvoering project'!$R:$R,'5. Kosten uitvoering project'!$E:$E,'6. Begrotingsoverzicht'!B30),"")</f>
        <v/>
      </c>
      <c r="D30" s="109" t="str">
        <f>IFERROR(VLOOKUP(B30,Lijsten!$AD:$AE,2,0),"")</f>
        <v/>
      </c>
      <c r="E30" s="108" t="str">
        <f t="shared" si="2"/>
        <v/>
      </c>
    </row>
    <row r="31" spans="2:27" s="38" customFormat="1" ht="15" customHeight="1" x14ac:dyDescent="0.25">
      <c r="B31" s="107"/>
      <c r="C31" s="108" t="str">
        <f>IF(B31&lt;&gt;"",SUMIFS('5. Kosten uitvoering project'!$P:$P,'5. Kosten uitvoering project'!$E:$E,'6. Begrotingsoverzicht'!B31)+SUMIFS('5. Kosten uitvoering project'!$R:$R,'5. Kosten uitvoering project'!$E:$E,'6. Begrotingsoverzicht'!B31),"")</f>
        <v/>
      </c>
      <c r="D31" s="109" t="str">
        <f>IFERROR(VLOOKUP(B31,Lijsten!$AD:$AE,2,0),"")</f>
        <v/>
      </c>
      <c r="E31" s="108" t="str">
        <f t="shared" si="2"/>
        <v/>
      </c>
    </row>
    <row r="32" spans="2:27" s="38" customFormat="1" ht="15" customHeight="1" x14ac:dyDescent="0.25">
      <c r="B32" s="107"/>
      <c r="C32" s="108" t="str">
        <f>IF(B32&lt;&gt;"",SUMIFS('5. Kosten uitvoering project'!$P:$P,'5. Kosten uitvoering project'!$E:$E,'6. Begrotingsoverzicht'!B32)+SUMIFS('5. Kosten uitvoering project'!$R:$R,'5. Kosten uitvoering project'!$E:$E,'6. Begrotingsoverzicht'!B32),"")</f>
        <v/>
      </c>
      <c r="D32" s="109" t="str">
        <f>IFERROR(VLOOKUP(B32,Lijsten!$AD:$AE,2,0),"")</f>
        <v/>
      </c>
      <c r="E32" s="108" t="str">
        <f t="shared" si="2"/>
        <v/>
      </c>
    </row>
    <row r="33" spans="2:17" ht="15" customHeight="1" x14ac:dyDescent="0.25">
      <c r="B33" s="107"/>
      <c r="C33" s="108" t="str">
        <f>IF(B33&lt;&gt;"",SUMIFS('5. Kosten uitvoering project'!$P:$P,'5. Kosten uitvoering project'!$E:$E,'6. Begrotingsoverzicht'!B33)+SUMIFS('5. Kosten uitvoering project'!$R:$R,'5. Kosten uitvoering project'!$E:$E,'6. Begrotingsoverzicht'!B33),"")</f>
        <v/>
      </c>
      <c r="D33" s="109" t="str">
        <f>IFERROR(VLOOKUP(B33,Lijsten!$AD:$AE,2,0),"")</f>
        <v/>
      </c>
      <c r="E33" s="108" t="str">
        <f t="shared" si="2"/>
        <v/>
      </c>
    </row>
    <row r="34" spans="2:17" s="38" customFormat="1" ht="15" customHeight="1" x14ac:dyDescent="0.25">
      <c r="B34" s="113"/>
      <c r="C34" s="113"/>
      <c r="D34" s="113"/>
      <c r="E34" s="113"/>
    </row>
    <row r="35" spans="2:17" s="38" customFormat="1" ht="15" customHeight="1" x14ac:dyDescent="0.25">
      <c r="D35" s="130" t="s">
        <v>145</v>
      </c>
      <c r="E35" s="108">
        <f ca="1">IFERROR(SUMPRODUCT(D26:D33,C26:C33),0)</f>
        <v>0</v>
      </c>
    </row>
    <row r="36" spans="2:17" s="38" customFormat="1" ht="15" customHeight="1" x14ac:dyDescent="0.25">
      <c r="D36" s="131" t="s">
        <v>146</v>
      </c>
      <c r="E36" s="57">
        <f ca="1">IF(AND(C52&lt;E35,C52&lt;&gt;"",E35&lt;&gt;"",E35&lt;&gt;0),C52,E35)</f>
        <v>0</v>
      </c>
      <c r="F36" s="100"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0"/>
      <c r="H36" s="100"/>
      <c r="I36" s="100"/>
      <c r="J36" s="100"/>
      <c r="K36" s="100"/>
      <c r="L36" s="100"/>
      <c r="M36" s="100"/>
      <c r="N36" s="100"/>
    </row>
    <row r="37" spans="2:17" s="38" customFormat="1" ht="14.25" customHeight="1" x14ac:dyDescent="0.25">
      <c r="D37" s="130" t="str">
        <f ca="1">IF(AND(E37&lt;&gt;"",E37&gt;Subsidie_Aanvraag),"",IF(AND(Subsidie_Aanvraag&lt;&gt;"",E37&lt;&gt;"",E37&lt;&gt;0,E37&lt;Subsidie_Aanvraag),"Lager maximaal bedrag (aanvrager):",""))</f>
        <v/>
      </c>
      <c r="E37" s="192"/>
      <c r="F37" s="100"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0"/>
      <c r="H37" s="100"/>
      <c r="I37" s="100"/>
      <c r="J37" s="100"/>
      <c r="K37" s="100"/>
      <c r="L37" s="100"/>
      <c r="M37" s="100"/>
      <c r="N37" s="100"/>
    </row>
    <row r="38" spans="2:17" s="38" customFormat="1" ht="4.5" customHeight="1" x14ac:dyDescent="0.25">
      <c r="B38" s="58"/>
      <c r="C38" s="59"/>
      <c r="D38" s="60"/>
    </row>
    <row r="39" spans="2:17" ht="15" customHeight="1" x14ac:dyDescent="0.25">
      <c r="B39" s="364" t="s">
        <v>11</v>
      </c>
      <c r="C39" s="365"/>
      <c r="D39" s="365"/>
      <c r="E39" s="366"/>
      <c r="O39" s="61" t="s">
        <v>50</v>
      </c>
      <c r="P39" s="99" t="s">
        <v>184</v>
      </c>
      <c r="Q39" s="99" t="s">
        <v>183</v>
      </c>
    </row>
    <row r="40" spans="2:17" ht="34.5" customHeight="1" x14ac:dyDescent="0.25">
      <c r="B40" s="302" t="s">
        <v>68</v>
      </c>
      <c r="C40" s="303">
        <f>IFERROR(C14/C21,0)</f>
        <v>0</v>
      </c>
      <c r="D40" s="362" t="str">
        <f>IF(C40&gt;0,"Maximaal 10% van de subsidiabele kosten mag bestaan uit grondkosten.","")</f>
        <v/>
      </c>
      <c r="E40" s="363"/>
      <c r="O40" s="63" t="s">
        <v>187</v>
      </c>
      <c r="P40" s="99">
        <f>SUMIFS(SubsidieTabel!$J:$J,SubsidieTabel!$C:$C,"&lt;&gt;Bijdrage*",SubsidieTabel!$C:$C,"&lt;&gt;Grond*")</f>
        <v>0</v>
      </c>
      <c r="Q40" s="99">
        <f>SUMIFS(SubsidieTabel!$M:$M,SubsidieTabel!$C:$C,"&lt;&gt;Bijdrage*",SubsidieTabel!$C:$C,"&lt;&gt;Grond*")</f>
        <v>0</v>
      </c>
    </row>
    <row r="41" spans="2:17" ht="15" customHeight="1" x14ac:dyDescent="0.25">
      <c r="B41" s="304" t="s">
        <v>69</v>
      </c>
      <c r="C41" s="305">
        <f>IF(C40&gt;0.1,IF(Methode_Keuze="Vereenvoudigde kostenoptie voor arbeidskosten",(C21-C14*1.23)/8.77,(C19-C14)/9),C14)</f>
        <v>0</v>
      </c>
      <c r="D41" s="306">
        <f>IFERROR(C14*($C41/$C14),C14)</f>
        <v>0</v>
      </c>
      <c r="E41" s="307"/>
      <c r="O41" s="68"/>
      <c r="P41" s="69"/>
      <c r="Q41" s="70"/>
    </row>
    <row r="42" spans="2:17" s="38" customFormat="1" ht="15" customHeight="1" x14ac:dyDescent="0.25">
      <c r="B42" s="304" t="s">
        <v>70</v>
      </c>
      <c r="C42" s="305">
        <f>IF(C40&lt;&gt;0,IF($C$40&gt;0.1,SUM(D42:D42),$C$19),0)</f>
        <v>0</v>
      </c>
      <c r="D42" s="306">
        <f>IF(C40&lt;&gt;0,IF($C$40&gt;0.1,C19-C14+D41,C19),0)</f>
        <v>0</v>
      </c>
      <c r="E42" s="307"/>
      <c r="O42" s="61" t="s">
        <v>11</v>
      </c>
      <c r="P42" s="62"/>
      <c r="Q42" s="99" t="s">
        <v>195</v>
      </c>
    </row>
    <row r="43" spans="2:17" s="38" customFormat="1" ht="15" customHeight="1" x14ac:dyDescent="0.25">
      <c r="B43" s="304" t="s">
        <v>71</v>
      </c>
      <c r="C43" s="305">
        <f>SUM(D43:D43)</f>
        <v>0</v>
      </c>
      <c r="D43" s="306" cm="1">
        <f t="array" ref="D43">_xlfn.IFS(D42=0,0,Methode_Keuze="Geen vereenvoudigde kostenoptie","",Methode_Keuze="Vereenvoudigde kostenoptie voor arbeidskosten",D42*0.23,Methode_Keuze="Vereenvoudigde kostenoptie voor overige kosten",D42*0.4)</f>
        <v>0</v>
      </c>
      <c r="E43" s="307"/>
      <c r="O43" s="63" t="s">
        <v>177</v>
      </c>
      <c r="P43" s="99">
        <f>P40/0.4</f>
        <v>0</v>
      </c>
      <c r="Q43" s="99">
        <f>SUMIFS(SubsidieTabel!$J:$J,SubsidieTabel!$C:$C,"&lt;&gt;Bijdrage*")</f>
        <v>0</v>
      </c>
    </row>
    <row r="44" spans="2:17" s="38" customFormat="1" ht="15" customHeight="1" x14ac:dyDescent="0.25">
      <c r="B44" s="304" t="s">
        <v>72</v>
      </c>
      <c r="C44" s="305">
        <f>SUM(C42:C43)</f>
        <v>0</v>
      </c>
      <c r="D44" s="306">
        <f>SUM(D42:D43)</f>
        <v>0</v>
      </c>
      <c r="E44" s="307"/>
      <c r="O44" s="63" t="s">
        <v>178</v>
      </c>
      <c r="P44" s="99">
        <f>IF(SUMIFS(SubsidieTabel!$J:$J,SubsidieTabel!$C:$C,"=Bijdrage*")&gt;P43/2,P43/2,SUMIFS(SubsidieTabel!$J:$J,SubsidieTabel!$C:$C,"=Bijdrage*"))</f>
        <v>0</v>
      </c>
      <c r="Q44" s="201">
        <f>MIN(P44,SUMIFS(SubsidieTabel!$J:$J,SubsidieTabel!$C:$C,"=Bijdrage*"))</f>
        <v>0</v>
      </c>
    </row>
    <row r="45" spans="2:17" ht="15" customHeight="1" x14ac:dyDescent="0.25">
      <c r="B45" s="302" t="s">
        <v>273</v>
      </c>
      <c r="C45" s="308">
        <f>SUM(D45:D45)</f>
        <v>0</v>
      </c>
      <c r="D45" s="306" t="str">
        <f>IFERROR(IF($C$41&lt;&gt;0,SUMIFS(SubsidieTabel!$M:$M,SubsidieTabel!$B:$B,"&lt;&gt;"&amp;$B$39)+ROUND(AVERAGEIFS(SubsidieTabel!$L:$L,SubsidieTabel!$B:$B,$B$39)*$D$41,2),""),"")</f>
        <v/>
      </c>
      <c r="E45" s="307"/>
      <c r="O45" s="63" t="s">
        <v>179</v>
      </c>
      <c r="P45" s="98">
        <f>IFERROR(SUMIFS(SubsidieTabel!$M:$M,SubsidieTabel!$C:$C,"=Grond*")/(MIN(Q43,Q44)),0)</f>
        <v>0</v>
      </c>
      <c r="Q45" s="211" t="str">
        <f>IF(P45&gt;0,"Maximaal 10% van de subsidiabele kosten mag bestaan uit grondkosten.","")</f>
        <v/>
      </c>
    </row>
    <row r="46" spans="2:17" s="39" customFormat="1" ht="4.5" customHeight="1" x14ac:dyDescent="0.25">
      <c r="B46" s="304"/>
      <c r="C46" s="305"/>
      <c r="D46" s="306"/>
      <c r="E46" s="307"/>
      <c r="O46" s="63" t="s">
        <v>186</v>
      </c>
      <c r="P46" s="64">
        <f>IF(P45&gt;0.1,Q47*0.1,SUMIFS(SubsidieTabel!$J:$J,SubsidieTabel!$C:$C,"=Grond*"))</f>
        <v>0</v>
      </c>
      <c r="Q46" s="64">
        <f>IFERROR(C14*($P46/$C14),C14)</f>
        <v>0</v>
      </c>
    </row>
    <row r="47" spans="2:17" ht="15" customHeight="1" x14ac:dyDescent="0.25">
      <c r="B47" s="367" t="s">
        <v>141</v>
      </c>
      <c r="C47" s="368"/>
      <c r="D47" s="368"/>
      <c r="E47" s="369"/>
      <c r="O47" s="63" t="s">
        <v>70</v>
      </c>
      <c r="P47" s="64">
        <f>IF($P$45&gt;0.1,Q47,0)</f>
        <v>0</v>
      </c>
      <c r="Q47" s="64">
        <f>IFERROR((SUMIFS(SubsidieTabel!$J:$J,SubsidieTabel!$C:$C,"&lt;&gt;Bijdrage*",SubsidieTabel!$C:$C,"&lt;&gt;Grond*")+P44)/0.9,0)</f>
        <v>0</v>
      </c>
    </row>
    <row r="48" spans="2:17" x14ac:dyDescent="0.25">
      <c r="B48" s="309" t="s">
        <v>196</v>
      </c>
      <c r="C48" s="301">
        <f ca="1">IF(C45&gt;0,0-(C45-C50),0-(E35-C50))</f>
        <v>0</v>
      </c>
      <c r="D48" s="360"/>
      <c r="E48" s="361"/>
      <c r="O48" s="63" t="s">
        <v>73</v>
      </c>
      <c r="P48" s="64">
        <f>SUM(Q48:Q48)</f>
        <v>0</v>
      </c>
      <c r="Q48" s="64" t="str">
        <f>IFERROR(ROUND(Q46*SUMIFS(SubsidieTabel!$M:$M,SubsidieTabel!$B:$B,'6. Begrotingsoverzicht'!$O$42)/SUMIFS(SubsidieTabel!$F:$F,SubsidieTabel!$B:$B,'6. Begrotingsoverzicht'!$O$42),2),"")</f>
        <v/>
      </c>
    </row>
    <row r="49" spans="2:17" x14ac:dyDescent="0.25">
      <c r="B49" s="309" t="s">
        <v>197</v>
      </c>
      <c r="C49" s="301">
        <f ca="1">IF(AND(C48&lt;0,C48&lt;&gt;"",C45&gt;0),MIN(C44*0.5,SUMIFS(SubsidieTabel!$J:$J,SubsidieTabel!$C:$C,"=Bijdrage*")),MIN(Totaal_Project-SUMIFS(SubsidieTabel!$J:$J,SubsidieTabel!$C:$C,"=Bijdrage*"),SUMIFS(SubsidieTabel!$J:$J,SubsidieTabel!$C:$C,"=Bijdrage*")))</f>
        <v>0</v>
      </c>
      <c r="D49" s="296"/>
      <c r="E49" s="297"/>
      <c r="O49" s="63"/>
      <c r="P49" s="64"/>
      <c r="Q49" s="64"/>
    </row>
    <row r="50" spans="2:17" ht="34.5" customHeight="1" x14ac:dyDescent="0.25">
      <c r="B50" s="309" t="s">
        <v>274</v>
      </c>
      <c r="C50" s="301">
        <f ca="1">IF(C45&lt;&gt;0,MIN(C45,C44-SUMIFS(SubsidieTabel!$J:$J,SubsidieTabel!$C:$C,"=Bijdrage*")),MIN(E35,C21-SUMIFS(SubsidieTabel!$J:$J,SubsidieTabel!$C:$C,"=Bijdrage*")))</f>
        <v>0</v>
      </c>
      <c r="D50" s="360" t="str">
        <f ca="1">IF(AND(C50&lt;E35,C48&lt;0),"Het subsidiebedrag mag niet meer bedragen dan de projectkosten minus de bijdrage in natura.","")</f>
        <v/>
      </c>
      <c r="E50" s="361"/>
      <c r="O50" s="63" t="s">
        <v>180</v>
      </c>
      <c r="P50" s="64">
        <f>P48-SUMIFS(SubsidieTabel!$M:$M,SubsidieTabel!$B:$B,'6. Begrotingsoverzicht'!$O$42)</f>
        <v>0</v>
      </c>
      <c r="Q50" s="64"/>
    </row>
    <row r="51" spans="2:17" ht="4.5" customHeight="1" x14ac:dyDescent="0.25">
      <c r="B51" s="310"/>
      <c r="C51" s="311"/>
      <c r="D51" s="312"/>
      <c r="E51" s="313"/>
      <c r="O51" s="206"/>
      <c r="P51" s="119"/>
      <c r="Q51" s="120"/>
    </row>
    <row r="52" spans="2:17" ht="32.25" customHeight="1" x14ac:dyDescent="0.25">
      <c r="B52" s="300" t="s">
        <v>15</v>
      </c>
      <c r="C52" s="301" cm="1">
        <f t="array" aca="1" ref="C52" ca="1">_xlfn.IFS(C50&lt;Min_Subsidie_Open,0,AND(Lijsten!X2&lt;&gt;0,C50&gt;=Max_Subsidie_Open),Max_Subsidie_Open,AND(Max_Subsidie_Open&lt;&gt;0,C50&gt;=Min_Subsidie_Open,C50&lt;Max_Subsidie_Open),C50,Max_Subsidie_Open&lt;=0,C50)</f>
        <v>0</v>
      </c>
      <c r="D52" s="360"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1"/>
      <c r="O52" s="101" t="s">
        <v>141</v>
      </c>
      <c r="P52" s="62"/>
      <c r="Q52" s="99"/>
    </row>
    <row r="53" spans="2:17" ht="30" x14ac:dyDescent="0.25">
      <c r="O53" s="208" t="s">
        <v>185</v>
      </c>
      <c r="P53" s="102">
        <f>MIN((SUMIFS(SubsidieTabel!$J:$J,SubsidieTabel!$C:$C,"&lt;&gt;Bijdrage*",SubsidieTabel!$C:$C,"&lt;&gt;Grond*")+P46),SUMIFS(SubsidieTabel!$J:$J,SubsidieTabel!$C:$C,"=Bijdrage*"))</f>
        <v>0</v>
      </c>
      <c r="Q53" s="66"/>
    </row>
    <row r="54" spans="2:17" ht="15" customHeight="1" x14ac:dyDescent="0.25">
      <c r="O54" s="67" t="s">
        <v>142</v>
      </c>
      <c r="P54" s="66">
        <f>MIN((SUMIFS(SubsidieTabel!$J:$J,SubsidieTabel!$C:$C,"&lt;&gt;Bijdrage*",SubsidieTabel!$C:$C,"&lt;&gt;Grond*")+P46),SUMIFS(SubsidieTabel!$J:$J,SubsidieTabel!$C:$C,"=Bijdrage*"))*IF(Q54="",0,Q54)</f>
        <v>0</v>
      </c>
      <c r="Q54" s="207" t="str">
        <f>IFERROR(ROUND(SUMIFS(SubsidieTabel!$M:$M,SubsidieTabel!$B:$B,"=Bijdrage*")/SUMIFS(SubsidieTabel!$F:$F,SubsidieTabel!$B:$B,"=Bijdrage*"),2),"")</f>
        <v/>
      </c>
    </row>
    <row r="55" spans="2:17" x14ac:dyDescent="0.25">
      <c r="O55" s="122" t="s">
        <v>75</v>
      </c>
      <c r="P55" s="102">
        <f>P54-SUMIFS(SubsidieTabel!$M:$M,SubsidieTabel!$C:$C,"=Bijdrage*")</f>
        <v>0</v>
      </c>
      <c r="Q55" s="210" t="str">
        <f ca="1">IF(AND(P54&lt;E35,P53&gt;0),"Het subsidiebedrag mag niet meer bedragen dan de projectkosten minus de bijdrage in natura.","")</f>
        <v/>
      </c>
    </row>
    <row r="56" spans="2:17" ht="15" customHeight="1" x14ac:dyDescent="0.25">
      <c r="E56" s="123"/>
      <c r="O56" s="68"/>
      <c r="P56" s="69"/>
      <c r="Q56" s="70"/>
    </row>
    <row r="57" spans="2:17" ht="44.45" customHeight="1" x14ac:dyDescent="0.25">
      <c r="E57" s="123"/>
      <c r="O57" s="96" t="s">
        <v>15</v>
      </c>
      <c r="P57" s="97" cm="1">
        <f t="array" ref="P57">_xlfn.IFS((P54+P48+Q40)&lt;Min_Subsidie_Open,0,AND(Lijsten!X2&lt;&gt;0,(P54+P48+Q40)&gt;=Max_Subsidie_Open),Max_Subsidie_Open,AND(Max_Subsidie_Open&lt;&gt;0,(P54+P48+Q40)&gt;=Min_Subsidie_Open,(P54+P48+Q40)&lt;Max_Subsidie_Open),(P54+P48+Q40),Max_Subsidie_Open&lt;=0,(P54+P48+Q40))</f>
        <v>0</v>
      </c>
      <c r="Q57" s="95"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D48:E48"/>
    <mergeCell ref="D40:E40"/>
    <mergeCell ref="D52:E52"/>
    <mergeCell ref="B39:E39"/>
    <mergeCell ref="B47:E47"/>
    <mergeCell ref="D50:E50"/>
    <mergeCell ref="C8:D8"/>
    <mergeCell ref="C2:D2"/>
    <mergeCell ref="C3:D3"/>
    <mergeCell ref="C4:D4"/>
    <mergeCell ref="C5:D5"/>
    <mergeCell ref="C6:D6"/>
  </mergeCells>
  <conditionalFormatting sqref="B39:E45">
    <cfRule type="expression" dxfId="70" priority="2">
      <formula>$C$40&gt;0.1</formula>
    </cfRule>
  </conditionalFormatting>
  <conditionalFormatting sqref="B47:E50">
    <cfRule type="expression" dxfId="69" priority="1">
      <formula>$C$48&lt;0</formula>
    </cfRule>
  </conditionalFormatting>
  <conditionalFormatting sqref="B52:E52">
    <cfRule type="expression" dxfId="68" priority="3">
      <formula>AND(OR($C$45&gt;0,$C$50&gt;0),$C$52&lt;&gt;$E$35)</formula>
    </cfRule>
  </conditionalFormatting>
  <conditionalFormatting sqref="D10:I10">
    <cfRule type="expression" dxfId="67" priority="8">
      <formula>D10&lt;&gt;""</formula>
    </cfRule>
  </conditionalFormatting>
  <conditionalFormatting sqref="D11:J18 D20:J20">
    <cfRule type="expression" dxfId="66" priority="5">
      <formula>D11&lt;&gt;""</formula>
    </cfRule>
  </conditionalFormatting>
  <conditionalFormatting sqref="D19:J19">
    <cfRule type="expression" dxfId="65" priority="6">
      <formula>D19&lt;&gt;""</formula>
    </cfRule>
  </conditionalFormatting>
  <conditionalFormatting sqref="D21:J21">
    <cfRule type="expression" dxfId="64" priority="7">
      <formula>D21&lt;&gt;""</formula>
    </cfRule>
  </conditionalFormatting>
  <conditionalFormatting sqref="E37">
    <cfRule type="expression" dxfId="63" priority="34" stopIfTrue="1">
      <formula>AND($E$37&lt;&gt;"",$E$37&gt;Subsidie_Aanvraag)</formula>
    </cfRule>
    <cfRule type="expression" dxfId="62" priority="35">
      <formula>AND($E$37&lt;&gt;"",$E$37&lt;Subsidie_Aanvraag)</formula>
    </cfRule>
  </conditionalFormatting>
  <conditionalFormatting sqref="F37:N37">
    <cfRule type="expression" dxfId="61" priority="36" stopIfTrue="1">
      <formula>AND(E37&lt;&gt;"",E37&gt;Subsidie_Aanvraag)</formula>
    </cfRule>
    <cfRule type="expression" dxfId="60" priority="37">
      <formula>AND(E37&lt;&gt;"",E37&lt;Subsidie_Aanvraag)</formula>
    </cfRule>
  </conditionalFormatting>
  <conditionalFormatting sqref="O52:O53 O54:Q55">
    <cfRule type="expression" dxfId="59" priority="38">
      <formula>$P$55=0</formula>
    </cfRule>
  </conditionalFormatting>
  <conditionalFormatting sqref="O53:O54">
    <cfRule type="expression" dxfId="58" priority="30">
      <formula>$P$45=0</formula>
    </cfRule>
  </conditionalFormatting>
  <conditionalFormatting sqref="O39:Q40">
    <cfRule type="expression" dxfId="57" priority="22">
      <formula>$P$45=0</formula>
    </cfRule>
  </conditionalFormatting>
  <conditionalFormatting sqref="O42:Q50">
    <cfRule type="expression" dxfId="56" priority="23">
      <formula>$P$45&lt;0.1</formula>
    </cfRule>
    <cfRule type="expression" dxfId="55" priority="43">
      <formula>$P$45=0</formula>
    </cfRule>
  </conditionalFormatting>
  <conditionalFormatting sqref="O57:Q57">
    <cfRule type="expression" dxfId="54" priority="41">
      <formula>OR($P$48&lt;&gt;0,$P$55&lt;&gt;0)</formula>
    </cfRule>
  </conditionalFormatting>
  <conditionalFormatting sqref="P52:Q52">
    <cfRule type="expression" dxfId="53" priority="28">
      <formula>$P$45=0</formula>
    </cfRule>
  </conditionalFormatting>
  <conditionalFormatting sqref="P53:Q54">
    <cfRule type="expression" dxfId="52"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scale="43" orientation="landscape" r:id="rId1"/>
  <headerFooter>
    <oddFooter>&amp;L&amp;F&amp;C&amp;A&amp;R&amp;P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40625" defaultRowHeight="15" customHeight="1" x14ac:dyDescent="0.25"/>
  <cols>
    <col min="1" max="1" width="2.85546875" style="37" customWidth="1"/>
    <col min="2" max="2" width="61.7109375" style="37" customWidth="1"/>
    <col min="3" max="3" width="24.42578125" style="37" customWidth="1"/>
    <col min="4" max="10" width="30.7109375" style="37" customWidth="1"/>
    <col min="11" max="11" width="11.5703125" style="37" bestFit="1" customWidth="1"/>
    <col min="12" max="12" width="12.140625" style="37" bestFit="1" customWidth="1"/>
    <col min="13" max="16384" width="9.140625" style="37"/>
  </cols>
  <sheetData>
    <row r="1" spans="2:12" ht="3" customHeight="1" x14ac:dyDescent="0.25">
      <c r="C1" s="248" t="str">
        <f>IF($C$2="","Kies op tabblad '1. Aanvraag gegevens' de juiste openstelling","")</f>
        <v>Kies op tabblad '1. Aanvraag gegevens' de juiste openstelling</v>
      </c>
    </row>
    <row r="2" spans="2:12" ht="28.5" customHeight="1" x14ac:dyDescent="0.25">
      <c r="B2" s="24" t="s">
        <v>77</v>
      </c>
      <c r="C2" s="357" t="str">
        <f>IF('1. Aanvraaggegevens'!C2&lt;&gt;"",'1. Aanvraaggegevens'!C2,"")</f>
        <v/>
      </c>
      <c r="D2" s="357"/>
    </row>
    <row r="3" spans="2:12" ht="15" customHeight="1" x14ac:dyDescent="0.25">
      <c r="B3" s="24" t="s">
        <v>16</v>
      </c>
      <c r="C3" s="358" t="str">
        <f>IF('1. Aanvraaggegevens'!C3&lt;&gt;"",'1. Aanvraaggegevens'!C3,"")</f>
        <v/>
      </c>
      <c r="D3" s="358"/>
    </row>
    <row r="4" spans="2:12" ht="15" customHeight="1" x14ac:dyDescent="0.25">
      <c r="B4" s="24" t="s">
        <v>17</v>
      </c>
      <c r="C4" s="358" t="str">
        <f>IF('1. Aanvraaggegevens'!C4&lt;&gt;"",'1. Aanvraaggegevens'!C4,"")</f>
        <v/>
      </c>
      <c r="D4" s="358"/>
      <c r="I4" s="214"/>
      <c r="J4" s="123"/>
    </row>
    <row r="5" spans="2:12" ht="15" customHeight="1" x14ac:dyDescent="0.25">
      <c r="B5" s="24" t="s">
        <v>18</v>
      </c>
      <c r="C5" s="358" t="str">
        <f>IF('1. Aanvraaggegevens'!C5&lt;&gt;"",'1. Aanvraaggegevens'!C5,"")</f>
        <v/>
      </c>
      <c r="D5" s="358"/>
      <c r="I5" s="205"/>
      <c r="L5" s="123"/>
    </row>
    <row r="6" spans="2:12" ht="15" customHeight="1" x14ac:dyDescent="0.25">
      <c r="B6" s="6"/>
      <c r="C6" s="359" t="str">
        <f>IF('1. Aanvraaggegevens'!C6&lt;&gt;"",'1. Aanvraaggegevens'!C6,"")</f>
        <v/>
      </c>
      <c r="D6" s="359"/>
      <c r="I6" s="205"/>
    </row>
    <row r="7" spans="2:12" ht="2.4500000000000002" customHeight="1" x14ac:dyDescent="0.25">
      <c r="C7" s="329" t="str">
        <f>IF($C$8="","Kies op tabblad '1. Aanvraag gegevens' de juiste methode","")</f>
        <v>Kies op tabblad '1. Aanvraag gegevens' de juiste methode</v>
      </c>
      <c r="D7" s="38"/>
    </row>
    <row r="8" spans="2:12" ht="15" customHeight="1" x14ac:dyDescent="0.25">
      <c r="B8" s="26" t="s">
        <v>19</v>
      </c>
      <c r="C8" s="356" t="str">
        <f>IF('1. Aanvraaggegevens'!C8&lt;&gt;"",'1. Aanvraaggegevens'!C8,"")</f>
        <v/>
      </c>
      <c r="D8" s="356"/>
      <c r="F8" s="36" t="s">
        <v>254</v>
      </c>
    </row>
    <row r="9" spans="2:12" ht="2.1" customHeight="1" x14ac:dyDescent="0.25"/>
    <row r="10" spans="2:12" ht="45.75" customHeight="1" x14ac:dyDescent="0.25">
      <c r="B10" s="276" t="s">
        <v>0</v>
      </c>
      <c r="C10" s="277" t="s">
        <v>279</v>
      </c>
      <c r="D10" s="278" t="s">
        <v>118</v>
      </c>
      <c r="E10" s="278" t="s">
        <v>232</v>
      </c>
      <c r="F10" s="225" t="str" cm="1">
        <f t="array" aca="1" ref="F10" ca="1">TRANSPOSE(Activiteiten_Uniek_Aanvraag)</f>
        <v/>
      </c>
      <c r="G10" s="225"/>
      <c r="H10" s="275"/>
      <c r="I10" s="275"/>
      <c r="J10" s="279"/>
    </row>
    <row r="11" spans="2:12" ht="15" customHeight="1" x14ac:dyDescent="0.25">
      <c r="B11" s="299" t="s">
        <v>8</v>
      </c>
      <c r="C11" s="127">
        <f>SUMIF(Tb_ProjectKosten[Begroting],'Beoordeeld begrotingsoverzicht'!B11,Tb_ProjectKosten[Kosten_Beoordeeld])</f>
        <v>0</v>
      </c>
      <c r="D11" s="128">
        <f>IF(C11&gt;0,C11,0)</f>
        <v>0</v>
      </c>
      <c r="E11" s="128">
        <f t="shared" ref="E11:E18" si="0">IF(D11&lt;&gt;0,IF(AND(D11&lt;&gt;0,C19&lt;&gt;0,$D$19/$C$19-Beoord_Subsidie_Aanvraag/$E$35&gt;0.01),(1+(Beoord_Subsidie_Aanvraag/$E$35-$D$19/$C$19)/($D$19/$C$19))*D11,D11),0)</f>
        <v>0</v>
      </c>
      <c r="F11" s="123" t="str">
        <f ca="1">IF(AND($C11&lt;&gt;0,F$10&lt;&gt;""),SUMIFS(SubsidieTabel!$G:$G,SubsidieTabel!$A:$A,F$10,SubsidieTabel!$C:$C,$B11),"")</f>
        <v/>
      </c>
      <c r="G11" s="123" t="str">
        <f>IF(AND($C11&lt;&gt;0,G$10&lt;&gt;""),SUMIFS(SubsidieTabel!$G:$G,SubsidieTabel!$A:$A,G$10,SubsidieTabel!$C:$C,$B11),"")</f>
        <v/>
      </c>
      <c r="H11" s="123" t="str">
        <f>IF(AND($C11&lt;&gt;0,H$10&lt;&gt;""),SUMIFS(SubsidieTabel!$G:$G,SubsidieTabel!$A:$A,H$10,SubsidieTabel!$C:$C,$B11),"")</f>
        <v/>
      </c>
      <c r="I11" s="123" t="str">
        <f>IF(AND($C11&lt;&gt;0,I$10&lt;&gt;""),SUMIFS(SubsidieTabel!$G:$G,SubsidieTabel!$A:$A,I$10,SubsidieTabel!$C:$C,$B11),"")</f>
        <v/>
      </c>
      <c r="J11" s="123" t="str">
        <f>IF(AND($C11&lt;&gt;0,J$10&lt;&gt;""),SUMIFS(SubsidieTabel!$G:$G,SubsidieTabel!$A:$A,J$10,SubsidieTabel!$C:$C,$B11),"")</f>
        <v/>
      </c>
    </row>
    <row r="12" spans="2:12" ht="15" customHeight="1" x14ac:dyDescent="0.25">
      <c r="B12" s="299" t="s">
        <v>91</v>
      </c>
      <c r="C12" s="127">
        <f>SUMIF(Tb_ProjectKosten[Begroting],'Beoordeeld begrotingsoverzicht'!B12,Tb_ProjectKosten[Kosten_Beoordeeld])</f>
        <v>0</v>
      </c>
      <c r="D12" s="128">
        <f>IF(C12&gt;0,C12,0)</f>
        <v>0</v>
      </c>
      <c r="E12" s="128">
        <f t="shared" si="0"/>
        <v>0</v>
      </c>
      <c r="F12" s="123" t="str">
        <f ca="1">IF(AND($C12&lt;&gt;0,F$10&lt;&gt;""),SUMIFS(SubsidieTabel!$G:$G,SubsidieTabel!$A:$A,F$10,SubsidieTabel!$C:$C,$B12),"")</f>
        <v/>
      </c>
      <c r="G12" s="123" t="str">
        <f>IF(AND($C12&lt;&gt;0,G$10&lt;&gt;""),SUMIFS(SubsidieTabel!$G:$G,SubsidieTabel!$A:$A,G$10,SubsidieTabel!$C:$C,$B12),"")</f>
        <v/>
      </c>
      <c r="H12" s="123" t="str">
        <f>IF(AND($C12&lt;&gt;0,H$10&lt;&gt;""),SUMIFS(SubsidieTabel!$G:$G,SubsidieTabel!$A:$A,H$10,SubsidieTabel!$C:$C,$B12),"")</f>
        <v/>
      </c>
      <c r="I12" s="123" t="str">
        <f>IF(AND($C12&lt;&gt;0,I$10&lt;&gt;""),SUMIFS(SubsidieTabel!$G:$G,SubsidieTabel!$A:$A,I$10,SubsidieTabel!$C:$C,$B12),"")</f>
        <v/>
      </c>
      <c r="J12" s="123" t="str">
        <f>IF(AND($C12&lt;&gt;0,J$10&lt;&gt;""),SUMIFS(SubsidieTabel!$G:$G,SubsidieTabel!$A:$A,J$10,SubsidieTabel!$C:$C,$B12),"")</f>
        <v/>
      </c>
    </row>
    <row r="13" spans="2:12" ht="15" customHeight="1" x14ac:dyDescent="0.25">
      <c r="B13" s="9" t="s">
        <v>28</v>
      </c>
      <c r="C13" s="127">
        <f>SUMIF(Tb_ProjectKosten[Begroting],'Beoordeeld begrotingsoverzicht'!B13,Tb_ProjectKosten[Kosten_Beoordeeld])</f>
        <v>0</v>
      </c>
      <c r="D13" s="128">
        <f>IF(C13&gt;0,C13,0)</f>
        <v>0</v>
      </c>
      <c r="E13" s="128">
        <f t="shared" si="0"/>
        <v>0</v>
      </c>
      <c r="F13" s="123" t="str">
        <f ca="1">IF(AND($C13&lt;&gt;0,F$10&lt;&gt;""),SUMIFS(SubsidieTabel!$G:$G,SubsidieTabel!$A:$A,F$10,SubsidieTabel!$C:$C,$B13),"")</f>
        <v/>
      </c>
      <c r="G13" s="123" t="str">
        <f>IF(AND($C13&lt;&gt;0,G$10&lt;&gt;""),SUMIFS(SubsidieTabel!$G:$G,SubsidieTabel!$A:$A,G$10,SubsidieTabel!$C:$C,$B13),"")</f>
        <v/>
      </c>
      <c r="H13" s="123" t="str">
        <f>IF(AND($C13&lt;&gt;0,H$10&lt;&gt;""),SUMIFS(SubsidieTabel!$G:$G,SubsidieTabel!$A:$A,H$10,SubsidieTabel!$C:$C,$B13),"")</f>
        <v/>
      </c>
      <c r="I13" s="123" t="str">
        <f>IF(AND($C13&lt;&gt;0,I$10&lt;&gt;""),SUMIFS(SubsidieTabel!$G:$G,SubsidieTabel!$A:$A,I$10,SubsidieTabel!$C:$C,$B13),"")</f>
        <v/>
      </c>
      <c r="J13" s="123" t="str">
        <f>IF(AND($C13&lt;&gt;0,J$10&lt;&gt;""),SUMIFS(SubsidieTabel!$G:$G,SubsidieTabel!$A:$A,J$10,SubsidieTabel!$C:$C,$B13),"")</f>
        <v/>
      </c>
    </row>
    <row r="14" spans="2:12" ht="15" customHeight="1" x14ac:dyDescent="0.25">
      <c r="B14" s="9" t="s">
        <v>11</v>
      </c>
      <c r="C14" s="127">
        <f>SUMIF(Tb_ProjectKosten[Begroting],'Beoordeeld begrotingsoverzicht'!B14,Tb_ProjectKosten[Kosten_Beoordeeld])</f>
        <v>0</v>
      </c>
      <c r="D14" s="128">
        <f>IF(AND(C41&lt;C14,C14&gt;0),ROUND(C41,2),C14)</f>
        <v>0</v>
      </c>
      <c r="E14" s="128">
        <f>IF(D14&lt;&gt;0,IF(AND(D14&lt;&gt;0,C22&lt;&gt;0,$D$19/$C$19-Beoord_Subsidie_Aanvraag/$E$35&gt;0.01),(1+(Beoord_Subsidie_Aanvraag/$E$35-$D$19/$C$19)/($D$19/$C$19))*D14,D14),0)</f>
        <v>0</v>
      </c>
      <c r="F14" s="123" t="str">
        <f ca="1">IF(AND($C14&lt;&gt;0,F$10&lt;&gt;""),SUMIFS(SubsidieTabel!$G:$G,SubsidieTabel!$A:$A,F$10,SubsidieTabel!$C:$C,$B14),"")</f>
        <v/>
      </c>
      <c r="G14" s="123" t="str">
        <f>IF(AND($C14&lt;&gt;0,G$10&lt;&gt;""),SUMIFS(SubsidieTabel!$G:$G,SubsidieTabel!$A:$A,G$10,SubsidieTabel!$C:$C,$B14),"")</f>
        <v/>
      </c>
      <c r="H14" s="123" t="str">
        <f>IF(AND($C14&lt;&gt;0,H$10&lt;&gt;""),SUMIFS(SubsidieTabel!$G:$G,SubsidieTabel!$A:$A,H$10,SubsidieTabel!$C:$C,$B14),"")</f>
        <v/>
      </c>
      <c r="I14" s="123" t="str">
        <f>IF(AND($C14&lt;&gt;0,I$10&lt;&gt;""),SUMIFS(SubsidieTabel!$G:$G,SubsidieTabel!$A:$A,I$10,SubsidieTabel!$C:$C,$B14),"")</f>
        <v/>
      </c>
      <c r="J14" s="123" t="str">
        <f>IF(AND($C14&lt;&gt;0,J$10&lt;&gt;""),SUMIFS(SubsidieTabel!$G:$G,SubsidieTabel!$A:$A,J$10,SubsidieTabel!$C:$C,$B14),"")</f>
        <v/>
      </c>
    </row>
    <row r="15" spans="2:12" ht="15" customHeight="1" x14ac:dyDescent="0.25">
      <c r="B15" s="9" t="s">
        <v>106</v>
      </c>
      <c r="C15" s="127">
        <f>SUMIF(Tb_ProjectKosten[Begroting],'Beoordeeld begrotingsoverzicht'!B15,Tb_ProjectKosten[Kosten_Beoordeeld])</f>
        <v>0</v>
      </c>
      <c r="D15" s="128">
        <f ca="1">IF(AND($C$48&lt;&gt;0,$C15&gt;0),ROUND(($C15/SUMIFS(SubsidieTabel!$J:$J,SubsidieTabel!$C:$C,"=Bijdrage*"))*(IF($C$49&lt;&gt;"",$C$49,SUMIFS(SubsidieTabel!$J:$J,SubsidieTabel!$C:$C,"=Bijdrage*"))),2),$C15)</f>
        <v>0</v>
      </c>
      <c r="E15" s="128">
        <f ca="1">IF(D15&lt;&gt;0,IF(AND(D15&lt;&gt;0,C23&lt;&gt;0,$D$19/$C$19-Beoord_Subsidie_Aanvraag/$E$35&gt;0.01),(1+(Beoord_Subsidie_Aanvraag/$E$35-$D$19/$C$19)/($D$19/$C$19))*D15,D15),0)</f>
        <v>0</v>
      </c>
      <c r="F15" s="123" t="str">
        <f ca="1">IF(AND($C15&lt;&gt;0,F$10&lt;&gt;""),SUMIFS(SubsidieTabel!$G:$G,SubsidieTabel!$A:$A,F$10,SubsidieTabel!$C:$C,$B15),"")</f>
        <v/>
      </c>
      <c r="G15" s="123" t="str">
        <f>IF(AND($C15&lt;&gt;0,G$10&lt;&gt;""),SUMIFS(SubsidieTabel!$G:$G,SubsidieTabel!$A:$A,G$10,SubsidieTabel!$C:$C,$B15),"")</f>
        <v/>
      </c>
      <c r="H15" s="123" t="str">
        <f>IF(AND($C15&lt;&gt;0,H$10&lt;&gt;""),SUMIFS(SubsidieTabel!$G:$G,SubsidieTabel!$A:$A,H$10,SubsidieTabel!$C:$C,$B15),"")</f>
        <v/>
      </c>
      <c r="I15" s="123" t="str">
        <f>IF(AND($C15&lt;&gt;0,I$10&lt;&gt;""),SUMIFS(SubsidieTabel!$G:$G,SubsidieTabel!$A:$A,I$10,SubsidieTabel!$C:$C,$B15),"")</f>
        <v/>
      </c>
      <c r="J15" s="123" t="str">
        <f>IF(AND($C15&lt;&gt;0,J$10&lt;&gt;""),SUMIFS(SubsidieTabel!$G:$G,SubsidieTabel!$A:$A,J$10,SubsidieTabel!$C:$C,$B15),"")</f>
        <v/>
      </c>
    </row>
    <row r="16" spans="2:12" ht="15" customHeight="1" x14ac:dyDescent="0.25">
      <c r="B16" s="9" t="s">
        <v>107</v>
      </c>
      <c r="C16" s="127">
        <f>SUMIF(Tb_ProjectKosten[Begroting],'Beoordeeld begrotingsoverzicht'!B16,Tb_ProjectKosten[Kosten_Beoordeeld])</f>
        <v>0</v>
      </c>
      <c r="D16" s="128">
        <f ca="1">IF(AND($C$48&lt;&gt;0,$C16&gt;0),ROUND(($C16/SUMIFS(SubsidieTabel!$J:$J,SubsidieTabel!$C:$C,"=Bijdrage*"))*(IF($C$49&lt;&gt;"",$C$49,SUMIFS(SubsidieTabel!$J:$J,SubsidieTabel!$C:$C,"=Bijdrage*"))),2),$C16)</f>
        <v>0</v>
      </c>
      <c r="E16" s="128">
        <f ca="1">IF(D16&lt;&gt;0,IF(AND(D16&lt;&gt;0,C24&lt;&gt;0,$D$19/$C$19-Beoord_Subsidie_Aanvraag/$E$35&gt;0.01),(1+(Beoord_Subsidie_Aanvraag/$E$35-$D$19/$C$19)/($D$19/$C$19))*D16,D16),0)</f>
        <v>0</v>
      </c>
      <c r="F16" s="123" t="str">
        <f ca="1">IF(AND($C16&lt;&gt;0,F$10&lt;&gt;""),SUMIFS(SubsidieTabel!$G:$G,SubsidieTabel!$A:$A,F$10,SubsidieTabel!$C:$C,$B16),"")</f>
        <v/>
      </c>
      <c r="G16" s="123" t="str">
        <f>IF(AND($C16&lt;&gt;0,G$10&lt;&gt;""),SUMIFS(SubsidieTabel!$G:$G,SubsidieTabel!$A:$A,G$10,SubsidieTabel!$C:$C,$B16),"")</f>
        <v/>
      </c>
      <c r="H16" s="123" t="str">
        <f>IF(AND($C16&lt;&gt;0,H$10&lt;&gt;""),SUMIFS(SubsidieTabel!$G:$G,SubsidieTabel!$A:$A,H$10,SubsidieTabel!$C:$C,$B16),"")</f>
        <v/>
      </c>
      <c r="I16" s="123" t="str">
        <f>IF(AND($C16&lt;&gt;0,I$10&lt;&gt;""),SUMIFS(SubsidieTabel!$G:$G,SubsidieTabel!$A:$A,I$10,SubsidieTabel!$C:$C,$B16),"")</f>
        <v/>
      </c>
      <c r="J16" s="123" t="str">
        <f>IF(AND($C16&lt;&gt;0,J$10&lt;&gt;""),SUMIFS(SubsidieTabel!$G:$G,SubsidieTabel!$A:$A,J$10,SubsidieTabel!$C:$C,$B16),"")</f>
        <v/>
      </c>
    </row>
    <row r="17" spans="2:10" ht="15" customHeight="1" x14ac:dyDescent="0.25">
      <c r="B17" s="9" t="s">
        <v>3</v>
      </c>
      <c r="C17" s="127">
        <f>SUMIF(Tb_ProjectKosten[Begroting],'Beoordeeld begrotingsoverzicht'!B17,Tb_ProjectKosten[Kosten_Beoordeeld])</f>
        <v>0</v>
      </c>
      <c r="D17" s="128">
        <f t="shared" ref="D17:D18" si="1">IF(C17&gt;0,C17,0)</f>
        <v>0</v>
      </c>
      <c r="E17" s="128">
        <f>IF(D17&lt;&gt;0,IF(AND(D17&lt;&gt;0,C25&lt;&gt;0,$D$19/$C$19-Beoord_Subsidie_Aanvraag/$E$35&gt;0.01),(1+(Beoord_Subsidie_Aanvraag/$E$35-$D$19/$C$19)/($D$19/$C$19))*D17,D17),0)</f>
        <v>0</v>
      </c>
      <c r="F17" s="123" t="str">
        <f ca="1">IF(AND($C17&lt;&gt;0,F$10&lt;&gt;""),SUMIFS(SubsidieTabel!$G:$G,SubsidieTabel!$A:$A,F$10,SubsidieTabel!$C:$C,$B17),"")</f>
        <v/>
      </c>
      <c r="G17" s="123" t="str">
        <f>IF(AND($C17&lt;&gt;0,G$10&lt;&gt;""),SUMIFS(SubsidieTabel!$G:$G,SubsidieTabel!$A:$A,G$10,SubsidieTabel!$C:$C,$B17),"")</f>
        <v/>
      </c>
      <c r="H17" s="123" t="str">
        <f>IF(AND($C17&lt;&gt;0,H$10&lt;&gt;""),SUMIFS(SubsidieTabel!$G:$G,SubsidieTabel!$A:$A,H$10,SubsidieTabel!$C:$C,$B17),"")</f>
        <v/>
      </c>
      <c r="I17" s="123" t="str">
        <f>IF(AND($C17&lt;&gt;0,I$10&lt;&gt;""),SUMIFS(SubsidieTabel!$G:$G,SubsidieTabel!$A:$A,I$10,SubsidieTabel!$C:$C,$B17),"")</f>
        <v/>
      </c>
      <c r="J17" s="123" t="str">
        <f>IF(AND($C17&lt;&gt;0,J$10&lt;&gt;""),SUMIFS(SubsidieTabel!$G:$G,SubsidieTabel!$A:$A,J$10,SubsidieTabel!$C:$C,$B17),"")</f>
        <v/>
      </c>
    </row>
    <row r="18" spans="2:10" ht="15" customHeight="1" x14ac:dyDescent="0.25">
      <c r="B18" s="9" t="s">
        <v>27</v>
      </c>
      <c r="C18" s="127">
        <f>SUMIF(Tb_ProjectKosten[Begroting],'Beoordeeld begrotingsoverzicht'!B18,Tb_ProjectKosten[Kosten_Beoordeeld])</f>
        <v>0</v>
      </c>
      <c r="D18" s="128">
        <f t="shared" si="1"/>
        <v>0</v>
      </c>
      <c r="E18" s="128">
        <f t="shared" si="0"/>
        <v>0</v>
      </c>
      <c r="F18" s="123" t="str">
        <f ca="1">IF(AND($C18&lt;&gt;0,F$10&lt;&gt;""),SUMIFS(SubsidieTabel!$G:$G,SubsidieTabel!$A:$A,F$10,SubsidieTabel!$C:$C,$B18),"")</f>
        <v/>
      </c>
      <c r="G18" s="123" t="str">
        <f>IF(AND($C18&lt;&gt;0,G$10&lt;&gt;""),SUMIFS(SubsidieTabel!$G:$G,SubsidieTabel!$A:$A,G$10,SubsidieTabel!$C:$C,$B18),"")</f>
        <v/>
      </c>
      <c r="H18" s="123" t="str">
        <f>IF(AND($C18&lt;&gt;0,H$10&lt;&gt;""),SUMIFS(SubsidieTabel!$G:$G,SubsidieTabel!$A:$A,H$10,SubsidieTabel!$C:$C,$B18),"")</f>
        <v/>
      </c>
      <c r="I18" s="123" t="str">
        <f>IF(AND($C18&lt;&gt;0,I$10&lt;&gt;""),SUMIFS(SubsidieTabel!$G:$G,SubsidieTabel!$A:$A,I$10,SubsidieTabel!$C:$C,$B18),"")</f>
        <v/>
      </c>
      <c r="J18" s="123" t="str">
        <f>IF(AND($C18&lt;&gt;0,J$10&lt;&gt;""),SUMIFS(SubsidieTabel!$G:$G,SubsidieTabel!$A:$A,J$10,SubsidieTabel!$C:$C,$B18),"")</f>
        <v/>
      </c>
    </row>
    <row r="19" spans="2:10" ht="15" customHeight="1" x14ac:dyDescent="0.25">
      <c r="B19" s="11" t="s">
        <v>21</v>
      </c>
      <c r="C19" s="10">
        <f>SUM(C11:C18)</f>
        <v>0</v>
      </c>
      <c r="D19" s="121">
        <f ca="1">SUM(D11:D18)</f>
        <v>0</v>
      </c>
      <c r="E19" s="121">
        <f ca="1">SUM(E11:E18)</f>
        <v>0</v>
      </c>
      <c r="F19" s="123" t="str">
        <f ca="1">IF(SUM(F11:F18)=0,"",SUM(F11:F18))</f>
        <v/>
      </c>
      <c r="G19" s="123" t="str">
        <f t="shared" ref="G19:J19" si="2">IF(SUM(G11:G18)=0,"",SUM(G11:G18))</f>
        <v/>
      </c>
      <c r="H19" s="123" t="str">
        <f t="shared" si="2"/>
        <v/>
      </c>
      <c r="I19" s="123" t="str">
        <f t="shared" si="2"/>
        <v/>
      </c>
      <c r="J19" s="123" t="str">
        <f t="shared" si="2"/>
        <v/>
      </c>
    </row>
    <row r="20" spans="2:10" s="38" customFormat="1" ht="15" customHeight="1" x14ac:dyDescent="0.25">
      <c r="B20" s="126" t="str" cm="1">
        <f t="array" ref="B20">_xlfn.IFS(OR($C$8="",$C$8="Geen vereenvoudigde kostenoptie"),"Geen forfait",$C$8="Vereenvoudigde kostenoptie voor overige kosten","Forfait voor overige kosten",$C$8="Vereenvoudigde kostenoptie voor arbeidskosten","Forfait voor arbeidskosten")</f>
        <v>Geen forfait</v>
      </c>
      <c r="C20" s="125" t="str">
        <f>IF(SUM(Tb_ProjectKosten[Forfait_Bedrag_Beoordeeld])&gt;0,SUM(Tb_ProjectKosten[Forfait_Bedrag_Beoordeeld]),"")</f>
        <v/>
      </c>
      <c r="D20" s="128" t="str">
        <f ca="1">IFERROR(ROUND(IF(D19&lt;&gt;C19,D19/C19*C20,C20),2),"")</f>
        <v/>
      </c>
      <c r="E20" s="128" t="str">
        <f ca="1">IFERROR(ROUND(IF(E19&lt;&gt;D19,E19/D19*D20,D20),2),"")</f>
        <v/>
      </c>
      <c r="F20" s="123" t="str">
        <f ca="1">IF(AND($C$20&lt;&gt;"",F$10&lt;&gt;""),SUMIFS(SubsidieTabel!$I:$I,SubsidieTabel!$A:$A,F$10),"")</f>
        <v/>
      </c>
      <c r="G20" s="123" t="str">
        <f>IF(AND($C$20&lt;&gt;"",G$10&lt;&gt;""),SUMIFS(SubsidieTabel!$I:$I,SubsidieTabel!$A:$A,G$10),"")</f>
        <v/>
      </c>
      <c r="H20" s="123" t="str">
        <f>IF(AND($C$20&lt;&gt;"",H$10&lt;&gt;""),SUMIFS(SubsidieTabel!$I:$I,SubsidieTabel!$A:$A,H$10),"")</f>
        <v/>
      </c>
      <c r="I20" s="123" t="str">
        <f>IF(AND($C$20&lt;&gt;"",I$10&lt;&gt;""),SUMIFS(SubsidieTabel!$I:$I,SubsidieTabel!$A:$A,I$10),"")</f>
        <v/>
      </c>
      <c r="J20" s="123" t="str">
        <f>IF(AND($C$20&lt;&gt;"",J$10&lt;&gt;""),SUMIFS(SubsidieTabel!$I:$I,SubsidieTabel!$A:$A,J$10),"")</f>
        <v/>
      </c>
    </row>
    <row r="21" spans="2:10" s="38" customFormat="1" ht="15" customHeight="1" x14ac:dyDescent="0.25">
      <c r="B21" s="193" t="s">
        <v>88</v>
      </c>
      <c r="C21" s="10" cm="1">
        <f t="array" ref="C21">IFERROR(_xlfn.IFS(C19=0,0,$C$8="Geen vereenvoudigde kostenoptie",C19,$C$8="Vereenvoudigde kostenoptie voor arbeidskosten",SUM(C19:C20),$C$8="Vereenvoudigde kostenoptie voor overige kosten",SUM(C19:C20)),0)</f>
        <v>0</v>
      </c>
      <c r="D21" s="121">
        <f ca="1">SUM(D19:D20)</f>
        <v>0</v>
      </c>
      <c r="E21" s="121">
        <f ca="1">SUM(E19:E20)</f>
        <v>0</v>
      </c>
      <c r="F21" s="224" t="str">
        <f ca="1">IF(SUM(F19:F20)=0,"",SUM(F19:F20))</f>
        <v/>
      </c>
      <c r="G21" s="224" t="str">
        <f t="shared" ref="G21:J21" si="3">IF(SUM(G19:G20)=0,"",SUM(G19:G20))</f>
        <v/>
      </c>
      <c r="H21" s="224" t="str">
        <f t="shared" si="3"/>
        <v/>
      </c>
      <c r="I21" s="224" t="str">
        <f t="shared" si="3"/>
        <v/>
      </c>
      <c r="J21" s="224" t="str">
        <f t="shared" si="3"/>
        <v/>
      </c>
    </row>
    <row r="22" spans="2:10" s="38" customFormat="1" ht="6" customHeight="1" x14ac:dyDescent="0.25">
      <c r="B22" s="52"/>
      <c r="C22" s="52"/>
      <c r="D22" s="53"/>
    </row>
    <row r="23" spans="2:10" s="38" customFormat="1" ht="6" customHeight="1" x14ac:dyDescent="0.25">
      <c r="B23" s="52"/>
      <c r="C23" s="54"/>
      <c r="D23" s="54"/>
    </row>
    <row r="24" spans="2:10" s="38" customFormat="1" ht="6" customHeight="1" x14ac:dyDescent="0.25">
      <c r="B24" s="55"/>
      <c r="C24" s="55"/>
      <c r="D24" s="56"/>
    </row>
    <row r="25" spans="2:10" ht="15" customHeight="1" x14ac:dyDescent="0.25">
      <c r="B25" s="113" t="s">
        <v>166</v>
      </c>
      <c r="C25" s="113" t="s">
        <v>136</v>
      </c>
      <c r="D25" s="113" t="s">
        <v>1</v>
      </c>
      <c r="E25" s="113" t="s">
        <v>144</v>
      </c>
    </row>
    <row r="26" spans="2:10" s="38" customFormat="1" ht="15" customHeight="1" x14ac:dyDescent="0.25">
      <c r="B26" s="107" t="str" cm="1">
        <f t="array" aca="1" ref="B26" ca="1">Activiteiten_Uniek_Aanvraag</f>
        <v/>
      </c>
      <c r="C26" s="108" t="str">
        <f ca="1">IF(B26&lt;&gt;"",SUMIFS('5. Kosten uitvoering project'!$Q:$Q,'5. Kosten uitvoering project'!$E:$E,'Beoordeeld begrotingsoverzicht'!B26)+SUMIFS('5. Kosten uitvoering project'!$S:$S,'5. Kosten uitvoering project'!$E:$E,'Beoordeeld begrotingsoverzicht'!B26),"")</f>
        <v/>
      </c>
      <c r="D26" s="109" t="str">
        <f ca="1">IFERROR(VLOOKUP(B26,Lijsten!$AD:$AE,2,0),"")</f>
        <v/>
      </c>
      <c r="E26" s="108" t="str">
        <f ca="1">IF(PRODUCT(C26,D26)&lt;&gt;0,PRODUCT(C26,D26),"")</f>
        <v/>
      </c>
    </row>
    <row r="27" spans="2:10" s="38" customFormat="1" ht="15" customHeight="1" x14ac:dyDescent="0.25">
      <c r="B27" s="107"/>
      <c r="C27" s="108" t="str">
        <f>IF(B27&lt;&gt;"",SUMIFS('5. Kosten uitvoering project'!$Q:$Q,'5. Kosten uitvoering project'!$E:$E,'Beoordeeld begrotingsoverzicht'!B27)+SUMIFS('5. Kosten uitvoering project'!$S:$S,'5. Kosten uitvoering project'!$E:$E,'Beoordeeld begrotingsoverzicht'!B27),"")</f>
        <v/>
      </c>
      <c r="D27" s="109" t="str">
        <f>IFERROR(VLOOKUP(B27,Lijsten!$AD:$AE,2,0),"")</f>
        <v/>
      </c>
      <c r="E27" s="108" t="str">
        <f t="shared" ref="E27:E33" si="4">IF(PRODUCT(C27,D27)&lt;&gt;0,PRODUCT(C27,D27),"")</f>
        <v/>
      </c>
    </row>
    <row r="28" spans="2:10" s="38" customFormat="1" ht="15" customHeight="1" x14ac:dyDescent="0.25">
      <c r="B28" s="107"/>
      <c r="C28" s="108" t="str">
        <f>IF(B28&lt;&gt;"",SUMIFS('5. Kosten uitvoering project'!$Q:$Q,'5. Kosten uitvoering project'!$E:$E,'Beoordeeld begrotingsoverzicht'!B28)+SUMIFS('5. Kosten uitvoering project'!$S:$S,'5. Kosten uitvoering project'!$E:$E,'Beoordeeld begrotingsoverzicht'!B28),"")</f>
        <v/>
      </c>
      <c r="D28" s="109" t="str">
        <f>IFERROR(VLOOKUP(B28,Lijsten!$AD:$AE,2,0),"")</f>
        <v/>
      </c>
      <c r="E28" s="108" t="str">
        <f t="shared" si="4"/>
        <v/>
      </c>
    </row>
    <row r="29" spans="2:10" s="38" customFormat="1" ht="15" customHeight="1" x14ac:dyDescent="0.25">
      <c r="B29" s="107"/>
      <c r="C29" s="108" t="str">
        <f>IF(B29&lt;&gt;"",SUMIFS('5. Kosten uitvoering project'!$Q:$Q,'5. Kosten uitvoering project'!$E:$E,'Beoordeeld begrotingsoverzicht'!B29)+SUMIFS('5. Kosten uitvoering project'!$S:$S,'5. Kosten uitvoering project'!$E:$E,'Beoordeeld begrotingsoverzicht'!B29),"")</f>
        <v/>
      </c>
      <c r="D29" s="109" t="str">
        <f>IFERROR(VLOOKUP(B29,Lijsten!$AD:$AE,2,0),"")</f>
        <v/>
      </c>
      <c r="E29" s="108" t="str">
        <f t="shared" si="4"/>
        <v/>
      </c>
    </row>
    <row r="30" spans="2:10" s="38" customFormat="1" ht="15" customHeight="1" x14ac:dyDescent="0.25">
      <c r="B30" s="107"/>
      <c r="C30" s="108" t="str">
        <f>IF(B30&lt;&gt;"",SUMIFS('5. Kosten uitvoering project'!$Q:$Q,'5. Kosten uitvoering project'!$E:$E,'Beoordeeld begrotingsoverzicht'!B30)+SUMIFS('5. Kosten uitvoering project'!$S:$S,'5. Kosten uitvoering project'!$E:$E,'Beoordeeld begrotingsoverzicht'!B30),"")</f>
        <v/>
      </c>
      <c r="D30" s="109" t="str">
        <f>IFERROR(VLOOKUP(B30,Lijsten!$AD:$AE,2,0),"")</f>
        <v/>
      </c>
      <c r="E30" s="108" t="str">
        <f t="shared" si="4"/>
        <v/>
      </c>
    </row>
    <row r="31" spans="2:10" s="38" customFormat="1" ht="15" customHeight="1" x14ac:dyDescent="0.25">
      <c r="B31" s="107"/>
      <c r="C31" s="108" t="str">
        <f>IF(B31&lt;&gt;"",SUMIFS('5. Kosten uitvoering project'!$Q:$Q,'5. Kosten uitvoering project'!$E:$E,'Beoordeeld begrotingsoverzicht'!B31)+SUMIFS('5. Kosten uitvoering project'!$S:$S,'5. Kosten uitvoering project'!$E:$E,'Beoordeeld begrotingsoverzicht'!B31),"")</f>
        <v/>
      </c>
      <c r="D31" s="109" t="str">
        <f>IFERROR(VLOOKUP(B31,Lijsten!$AD:$AE,2,0),"")</f>
        <v/>
      </c>
      <c r="E31" s="108" t="str">
        <f t="shared" si="4"/>
        <v/>
      </c>
    </row>
    <row r="32" spans="2:10" s="38" customFormat="1" ht="15" customHeight="1" x14ac:dyDescent="0.25">
      <c r="B32" s="107"/>
      <c r="C32" s="108" t="str">
        <f>IF(B32&lt;&gt;"",SUMIFS('5. Kosten uitvoering project'!$Q:$Q,'5. Kosten uitvoering project'!$E:$E,'Beoordeeld begrotingsoverzicht'!B32)+SUMIFS('5. Kosten uitvoering project'!$S:$S,'5. Kosten uitvoering project'!$E:$E,'Beoordeeld begrotingsoverzicht'!B32),"")</f>
        <v/>
      </c>
      <c r="D32" s="109" t="str">
        <f>IFERROR(VLOOKUP(B32,Lijsten!$AD:$AE,2,0),"")</f>
        <v/>
      </c>
      <c r="E32" s="108" t="str">
        <f t="shared" si="4"/>
        <v/>
      </c>
    </row>
    <row r="33" spans="2:13" ht="15" customHeight="1" x14ac:dyDescent="0.25">
      <c r="B33" s="107"/>
      <c r="C33" s="108" t="str">
        <f>IF(B33&lt;&gt;"",SUMIFS('5. Kosten uitvoering project'!$Q:$Q,'5. Kosten uitvoering project'!$E:$E,'Beoordeeld begrotingsoverzicht'!B33)+SUMIFS('5. Kosten uitvoering project'!$S:$S,'5. Kosten uitvoering project'!$E:$E,'Beoordeeld begrotingsoverzicht'!B33),"")</f>
        <v/>
      </c>
      <c r="D33" s="109" t="str">
        <f>IFERROR(VLOOKUP(B33,Lijsten!$AD:$AE,2,0),"")</f>
        <v/>
      </c>
      <c r="E33" s="108" t="str">
        <f t="shared" si="4"/>
        <v/>
      </c>
    </row>
    <row r="34" spans="2:13" s="38" customFormat="1" ht="15" customHeight="1" x14ac:dyDescent="0.25">
      <c r="B34" s="113"/>
      <c r="C34" s="113"/>
      <c r="D34" s="113"/>
      <c r="E34" s="113"/>
    </row>
    <row r="35" spans="2:13" s="38" customFormat="1" ht="15" customHeight="1" x14ac:dyDescent="0.25">
      <c r="D35" s="130" t="s">
        <v>145</v>
      </c>
      <c r="E35" s="108">
        <f ca="1">IFERROR(SUMPRODUCT(D26:D33,C26:C33),0)</f>
        <v>0</v>
      </c>
      <c r="F35" s="213"/>
    </row>
    <row r="36" spans="2:13" s="38" customFormat="1" ht="15" customHeight="1" x14ac:dyDescent="0.25">
      <c r="D36" s="131" t="s">
        <v>146</v>
      </c>
      <c r="E36" s="57">
        <f ca="1">IF(AND(Beoord_Subsidie_Aanvraag_Min&lt;&gt;0,Beoord_Subsidie_Aanvraag_Min&lt;C52,Beoord_Subsidie_Aanvraag_Min&lt;E35),Beoord_Subsidie_Aanvraag_Min,IF(AND(C52&lt;E35,C52&lt;&gt;"",E35&lt;&gt;"",E35&lt;&gt;0),C52,E35))</f>
        <v>0</v>
      </c>
      <c r="F36" s="123"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2"/>
      <c r="J36" s="215"/>
    </row>
    <row r="37" spans="2:13" s="38" customFormat="1" ht="15" customHeight="1" x14ac:dyDescent="0.25">
      <c r="D37" s="130" t="str">
        <f ca="1">IF(AND(E37&lt;&gt;"",E37&gt;Beoord_Subsidie_Aanvraag),"",IF(AND(Beoord_Subsidie_Aanvraag&lt;&gt;"",E37&lt;&gt;"",E37&lt;&gt;0,E37&lt;Beoord_Subsidie_Aanvraag),"Lager maximaal bedrag (aanvrager):",""))</f>
        <v/>
      </c>
      <c r="E37" s="194">
        <f>Subsidie_Aanvraag_Min</f>
        <v>0</v>
      </c>
      <c r="F37" s="100"/>
    </row>
    <row r="38" spans="2:13" s="38" customFormat="1" ht="15" customHeight="1" x14ac:dyDescent="0.25">
      <c r="B38" s="58"/>
      <c r="C38" s="59"/>
      <c r="D38" s="60"/>
    </row>
    <row r="39" spans="2:13" s="38" customFormat="1" ht="15" customHeight="1" x14ac:dyDescent="0.25">
      <c r="B39" s="370" t="s">
        <v>11</v>
      </c>
      <c r="C39" s="371"/>
      <c r="D39" s="371"/>
      <c r="E39" s="372"/>
    </row>
    <row r="40" spans="2:13" ht="31.5" customHeight="1" x14ac:dyDescent="0.25">
      <c r="B40" s="302" t="s">
        <v>68</v>
      </c>
      <c r="C40" s="314">
        <f>IFERROR(C14/C21,0)</f>
        <v>0</v>
      </c>
      <c r="D40" s="373" t="str">
        <f>IF(C40&gt;0,"Maximaal 10% van de subsidiabele kosten mag bestaan uit grondkosten.","")</f>
        <v/>
      </c>
      <c r="E40" s="374"/>
      <c r="G40" s="204"/>
      <c r="J40" s="202"/>
      <c r="K40" s="202"/>
      <c r="L40" s="202"/>
      <c r="M40" s="205"/>
    </row>
    <row r="41" spans="2:13" s="39" customFormat="1" ht="15" customHeight="1" x14ac:dyDescent="0.25">
      <c r="B41" s="304" t="s">
        <v>69</v>
      </c>
      <c r="C41" s="305">
        <f>IF(C40&gt;0.1,IF(Methode_Keuze="Vereenvoudigde kostenoptie voor arbeidskosten",(C21-C14*1.23)/8.77,(C19-C14)/9),C14)</f>
        <v>0</v>
      </c>
      <c r="D41" s="306">
        <f>IFERROR(C14*($C41/$C14),C14)</f>
        <v>0</v>
      </c>
      <c r="E41" s="307"/>
      <c r="J41" s="203"/>
      <c r="K41" s="203"/>
      <c r="L41" s="203"/>
      <c r="M41" s="205"/>
    </row>
    <row r="42" spans="2:13" ht="15" customHeight="1" x14ac:dyDescent="0.25">
      <c r="B42" s="304" t="s">
        <v>70</v>
      </c>
      <c r="C42" s="305">
        <f>IF($C$40&lt;&gt;0,IF($C$40&gt;0.1,SUM(D42:D42),C19),0)</f>
        <v>0</v>
      </c>
      <c r="D42" s="306">
        <f>IF(C40&lt;&gt;0,IF($C$40&gt;0.1,C19-C14+D41,C19),0)</f>
        <v>0</v>
      </c>
      <c r="E42" s="307"/>
      <c r="J42" s="202"/>
      <c r="K42" s="202"/>
      <c r="L42" s="202"/>
      <c r="M42" s="205"/>
    </row>
    <row r="43" spans="2:13" ht="15" customHeight="1" x14ac:dyDescent="0.25">
      <c r="B43" s="304" t="s">
        <v>71</v>
      </c>
      <c r="C43" s="305">
        <f>SUM(D43:D43)</f>
        <v>0</v>
      </c>
      <c r="D43" s="306" cm="1">
        <f t="array" ref="D43">_xlfn.IFS(D42=0,0,Methode_Keuze="Geen vereenvoudigde kostenoptie","",Methode_Keuze="Vereenvoudigde kostenoptie voor arbeidskosten",D42*0.23,Methode_Keuze="Vereenvoudigde kostenoptie voor overige kosten",D42*0.4)</f>
        <v>0</v>
      </c>
      <c r="E43" s="307"/>
      <c r="J43" s="202"/>
      <c r="K43" s="203"/>
      <c r="L43" s="202"/>
      <c r="M43" s="205"/>
    </row>
    <row r="44" spans="2:13" ht="15" customHeight="1" x14ac:dyDescent="0.25">
      <c r="B44" s="304" t="s">
        <v>72</v>
      </c>
      <c r="C44" s="305">
        <f>SUM(C42:C43)</f>
        <v>0</v>
      </c>
      <c r="D44" s="306">
        <f>SUM(D42:D43)</f>
        <v>0</v>
      </c>
      <c r="E44" s="307"/>
      <c r="M44" s="205"/>
    </row>
    <row r="45" spans="2:13" ht="15" customHeight="1" x14ac:dyDescent="0.25">
      <c r="B45" s="304" t="s">
        <v>273</v>
      </c>
      <c r="C45" s="305">
        <f>SUM(D45:D45)</f>
        <v>0</v>
      </c>
      <c r="D45" s="306" t="str">
        <f>IFERROR(IF($C$41&lt;&gt;0,SUMIFS(SubsidieTabel!$M:$M,SubsidieTabel!$B:$B,"&lt;&gt;"&amp;$B$39)+ROUND(AVERAGEIFS(SubsidieTabel!$L:$L,SubsidieTabel!$B:$B,$B$39)*$D$41,2),""),"")</f>
        <v/>
      </c>
      <c r="E45" s="307"/>
      <c r="M45" s="205"/>
    </row>
    <row r="46" spans="2:13" ht="4.5" customHeight="1" x14ac:dyDescent="0.25">
      <c r="B46" s="304"/>
      <c r="C46" s="305"/>
      <c r="D46" s="306"/>
      <c r="E46" s="307"/>
      <c r="G46" s="204"/>
      <c r="J46" s="202"/>
      <c r="K46" s="202"/>
      <c r="L46" s="202"/>
      <c r="M46" s="205"/>
    </row>
    <row r="47" spans="2:13" ht="15" customHeight="1" x14ac:dyDescent="0.25">
      <c r="B47" s="367" t="s">
        <v>141</v>
      </c>
      <c r="C47" s="368"/>
      <c r="D47" s="368"/>
      <c r="E47" s="369"/>
      <c r="I47" s="39"/>
      <c r="J47" s="203"/>
      <c r="K47" s="203"/>
      <c r="L47" s="203"/>
      <c r="M47" s="205"/>
    </row>
    <row r="48" spans="2:13" ht="15" customHeight="1" x14ac:dyDescent="0.25">
      <c r="B48" s="309" t="s">
        <v>75</v>
      </c>
      <c r="C48" s="301">
        <f ca="1">IF(C45&gt;0,0-(C45-C50),0-(E35-C50))</f>
        <v>0</v>
      </c>
      <c r="D48" s="360"/>
      <c r="E48" s="361"/>
      <c r="J48" s="202"/>
      <c r="K48" s="202"/>
      <c r="L48" s="202"/>
      <c r="M48" s="205"/>
    </row>
    <row r="49" spans="2:13" ht="15" customHeight="1" x14ac:dyDescent="0.25">
      <c r="B49" s="309" t="s">
        <v>197</v>
      </c>
      <c r="C49" s="301">
        <f ca="1">IF(AND(C48&lt;0,C48&lt;&gt;"",C45&gt;0),MIN(C44*0.5,SUMIFS(SubsidieTabel!$K:$K,SubsidieTabel!$C:$C,"=Bijdrage*")),MIN(Beoord_Totaal_Project-SUMIFS(SubsidieTabel!$K:$K,SubsidieTabel!$C:$C,"=Bijdrage*"),SUMIFS(SubsidieTabel!$K:$K,SubsidieTabel!$C:$C,"=Bijdrage*")))</f>
        <v>0</v>
      </c>
      <c r="D49" s="296"/>
      <c r="E49" s="297"/>
      <c r="J49" s="202"/>
      <c r="K49" s="202"/>
      <c r="L49" s="202"/>
      <c r="M49" s="205"/>
    </row>
    <row r="50" spans="2:13" ht="29.25" customHeight="1" x14ac:dyDescent="0.25">
      <c r="B50" s="309" t="s">
        <v>274</v>
      </c>
      <c r="C50" s="301">
        <f ca="1">IF(C45&lt;&gt;0,MIN(C45,C44-SUMIFS(SubsidieTabel!$K:$K,SubsidieTabel!$C:$C,"=Bijdrage*")),MIN(E35,C21-SUMIFS(SubsidieTabel!$K:$K,SubsidieTabel!$C:$C,"=Bijdrage*")))</f>
        <v>0</v>
      </c>
      <c r="D50" s="360" t="str">
        <f ca="1">IF(AND(C50&lt;E35,C48&lt;0),"Het subsidiebedrag mag niet meer bedragen dan de projectkosten minus de bijdrage in natura.","")</f>
        <v/>
      </c>
      <c r="E50" s="361"/>
      <c r="J50" s="202"/>
      <c r="K50" s="203"/>
      <c r="L50" s="202"/>
    </row>
    <row r="51" spans="2:13" ht="3.75" customHeight="1" x14ac:dyDescent="0.25">
      <c r="B51" s="310"/>
      <c r="C51" s="311"/>
      <c r="D51" s="312"/>
      <c r="E51" s="313"/>
    </row>
    <row r="52" spans="2:13" ht="37.5" customHeight="1" x14ac:dyDescent="0.25">
      <c r="B52" s="300" t="s">
        <v>15</v>
      </c>
      <c r="C52" s="301" cm="1">
        <f t="array" aca="1" ref="C52" ca="1">_xlfn.IFS(C50&lt;Min_Subsidie_Open,0,AND(Lijsten!X2&lt;&gt;0,C50&gt;=Max_Subsidie_Open),Max_Subsidie_Open,AND(Max_Subsidie_Open&lt;&gt;0,C50&gt;=Min_Subsidie_Open,C50&lt;Max_Subsidie_Open),C50,Max_Subsidie_Open&lt;=0,C50)</f>
        <v>0</v>
      </c>
      <c r="D52" s="360"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1"/>
    </row>
  </sheetData>
  <sheetProtection algorithmName="SHA-512" hashValue="9nvsRWrC7DbI2FY5TC/MBArlYwdSF4dpoF2CmerENk8SI7A7tRoVFfvVQAnsWKfGYQe42ReFqQBk6QdxzViLCA==" saltValue="9X+wigiKuLly8Ye1VBiiyw==" spinCount="100000" sheet="1" selectLockedCells="1"/>
  <mergeCells count="12">
    <mergeCell ref="B39:E39"/>
    <mergeCell ref="D40:E40"/>
    <mergeCell ref="B47:E47"/>
    <mergeCell ref="D48:E48"/>
    <mergeCell ref="D52:E52"/>
    <mergeCell ref="D50:E50"/>
    <mergeCell ref="C8:D8"/>
    <mergeCell ref="C2:D2"/>
    <mergeCell ref="C3:D3"/>
    <mergeCell ref="C4:D4"/>
    <mergeCell ref="C5:D5"/>
    <mergeCell ref="C6:D6"/>
  </mergeCells>
  <conditionalFormatting sqref="B39:E45">
    <cfRule type="expression" dxfId="51" priority="2">
      <formula>$C$40&gt;0.1</formula>
    </cfRule>
  </conditionalFormatting>
  <conditionalFormatting sqref="B47:E50">
    <cfRule type="expression" dxfId="50" priority="1">
      <formula>$C$48&lt;0</formula>
    </cfRule>
  </conditionalFormatting>
  <conditionalFormatting sqref="B52:E52">
    <cfRule type="expression" dxfId="49" priority="13">
      <formula>AND(OR($C$45&gt;0,$C$50&gt;0),$C$52&lt;&gt;$E$35)</formula>
    </cfRule>
  </conditionalFormatting>
  <conditionalFormatting sqref="E37">
    <cfRule type="expression" dxfId="48" priority="17" stopIfTrue="1">
      <formula>AND($E$37&lt;&gt;"",$E$37&gt;Beoord_Subsidie_Aanvraag)</formula>
    </cfRule>
    <cfRule type="expression" dxfId="47" priority="18">
      <formula>AND($E$37&lt;&gt;"",$E$37&lt;Beoord_Subsidie_Aanvraag)</formula>
    </cfRule>
  </conditionalFormatting>
  <conditionalFormatting sqref="F37">
    <cfRule type="expression" dxfId="46" priority="19" stopIfTrue="1">
      <formula>AND(E37&lt;&gt;"",E37&gt;Beoord_Subsidie_Aanvraag)</formula>
    </cfRule>
    <cfRule type="expression" dxfId="45" priority="20">
      <formula>AND(E37&lt;&gt;"",E37&lt;Beoord_Subsidie_Aanvraag)</formula>
    </cfRule>
  </conditionalFormatting>
  <conditionalFormatting sqref="F10:I10">
    <cfRule type="expression" dxfId="44" priority="7">
      <formula>F10&lt;&gt;""</formula>
    </cfRule>
  </conditionalFormatting>
  <conditionalFormatting sqref="F11:J18">
    <cfRule type="expression" dxfId="43" priority="6">
      <formula>F11&lt;&gt;""</formula>
    </cfRule>
  </conditionalFormatting>
  <conditionalFormatting sqref="F19:J19">
    <cfRule type="expression" dxfId="42" priority="4">
      <formula>F19&lt;&gt;""</formula>
    </cfRule>
  </conditionalFormatting>
  <conditionalFormatting sqref="F20:J20">
    <cfRule type="expression" dxfId="41" priority="5">
      <formula>F20&lt;&gt;""</formula>
    </cfRule>
  </conditionalFormatting>
  <conditionalFormatting sqref="F21:J21">
    <cfRule type="expression" dxfId="40"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sheetPr>
  <dimension ref="A1:U128"/>
  <sheetViews>
    <sheetView showRowColHeaders="0" zoomScaleNormal="100" workbookViewId="0">
      <selection activeCell="F8" sqref="F8"/>
    </sheetView>
  </sheetViews>
  <sheetFormatPr defaultColWidth="9.140625" defaultRowHeight="15" x14ac:dyDescent="0.25"/>
  <cols>
    <col min="1" max="1" width="9.140625" style="330"/>
    <col min="2" max="16384" width="9.140625" style="22"/>
  </cols>
  <sheetData>
    <row r="1" spans="1:21" ht="111" customHeight="1" x14ac:dyDescent="0.25">
      <c r="A1" s="336" t="s">
        <v>411</v>
      </c>
    </row>
    <row r="3" spans="1:21" x14ac:dyDescent="0.25">
      <c r="A3" s="332" t="s">
        <v>294</v>
      </c>
    </row>
    <row r="4" spans="1:21" x14ac:dyDescent="0.25">
      <c r="A4" s="334" t="s">
        <v>295</v>
      </c>
      <c r="B4" s="23"/>
      <c r="C4" s="23"/>
      <c r="D4" s="23"/>
      <c r="E4" s="23"/>
      <c r="F4" s="23"/>
      <c r="G4" s="23"/>
      <c r="H4" s="23"/>
      <c r="I4" s="23"/>
      <c r="J4" s="23"/>
      <c r="K4" s="23"/>
      <c r="L4" s="23"/>
      <c r="M4" s="23"/>
      <c r="N4" s="23"/>
      <c r="O4" s="23"/>
      <c r="P4" s="23"/>
      <c r="Q4" s="23"/>
      <c r="R4" s="23"/>
      <c r="S4" s="23"/>
      <c r="T4" s="23"/>
      <c r="U4" s="23"/>
    </row>
    <row r="5" spans="1:21" x14ac:dyDescent="0.25">
      <c r="A5" s="334" t="s">
        <v>214</v>
      </c>
      <c r="B5" s="23"/>
      <c r="C5" s="23"/>
      <c r="D5" s="23"/>
      <c r="E5" s="23"/>
      <c r="F5" s="23"/>
      <c r="G5" s="23"/>
      <c r="H5" s="23"/>
      <c r="I5" s="23"/>
      <c r="J5" s="23"/>
      <c r="K5" s="23"/>
      <c r="L5" s="23"/>
      <c r="M5" s="23"/>
      <c r="N5" s="23"/>
      <c r="O5" s="23"/>
      <c r="P5" s="23"/>
      <c r="Q5" s="23"/>
      <c r="R5" s="23"/>
      <c r="S5" s="23"/>
      <c r="T5" s="23"/>
      <c r="U5" s="23"/>
    </row>
    <row r="6" spans="1:21" x14ac:dyDescent="0.25">
      <c r="A6" s="334" t="s">
        <v>412</v>
      </c>
      <c r="B6" s="23"/>
      <c r="C6" s="23"/>
      <c r="D6" s="23"/>
      <c r="E6" s="23"/>
      <c r="F6" s="23"/>
      <c r="G6" s="23"/>
      <c r="H6" s="23"/>
      <c r="I6" s="23"/>
      <c r="J6" s="23"/>
      <c r="K6" s="23"/>
      <c r="L6" s="23"/>
      <c r="M6" s="23"/>
      <c r="N6" s="23"/>
      <c r="O6" s="23"/>
      <c r="P6" s="23"/>
      <c r="Q6" s="23"/>
      <c r="R6" s="23"/>
      <c r="S6" s="23"/>
      <c r="T6" s="23"/>
      <c r="U6" s="23"/>
    </row>
    <row r="7" spans="1:21" x14ac:dyDescent="0.25">
      <c r="A7" s="334"/>
      <c r="B7" s="23"/>
      <c r="C7" s="23"/>
      <c r="D7" s="23"/>
      <c r="E7" s="23"/>
      <c r="F7" s="23"/>
      <c r="G7" s="23"/>
      <c r="H7" s="23"/>
      <c r="I7" s="23"/>
      <c r="J7" s="23"/>
      <c r="K7" s="23"/>
      <c r="L7" s="23"/>
      <c r="M7" s="23"/>
      <c r="N7" s="23"/>
      <c r="O7" s="23"/>
      <c r="P7" s="23"/>
      <c r="Q7" s="23"/>
      <c r="R7" s="23"/>
      <c r="S7" s="23"/>
      <c r="T7" s="23"/>
      <c r="U7" s="23"/>
    </row>
    <row r="8" spans="1:21" x14ac:dyDescent="0.25">
      <c r="A8" s="339" t="s">
        <v>212</v>
      </c>
      <c r="B8" s="23"/>
      <c r="C8" s="23"/>
      <c r="D8" s="23"/>
      <c r="E8" s="23"/>
      <c r="F8" s="23"/>
      <c r="G8" s="23"/>
      <c r="H8" s="23"/>
      <c r="I8" s="23"/>
      <c r="J8" s="23"/>
      <c r="K8" s="23"/>
      <c r="L8" s="23"/>
      <c r="M8" s="23"/>
      <c r="N8" s="23"/>
      <c r="O8" s="23"/>
      <c r="P8" s="23"/>
      <c r="Q8" s="23"/>
      <c r="R8" s="23"/>
      <c r="S8" s="23"/>
      <c r="T8" s="23"/>
      <c r="U8" s="23"/>
    </row>
    <row r="9" spans="1:21" x14ac:dyDescent="0.25">
      <c r="A9" s="334" t="s">
        <v>413</v>
      </c>
      <c r="B9" s="23"/>
      <c r="C9" s="23"/>
      <c r="D9" s="23"/>
      <c r="E9" s="23"/>
      <c r="F9" s="23"/>
      <c r="G9" s="23"/>
      <c r="H9" s="23"/>
      <c r="I9" s="23"/>
      <c r="J9" s="23"/>
      <c r="K9" s="23"/>
      <c r="L9" s="23"/>
      <c r="M9" s="23"/>
      <c r="N9" s="23"/>
      <c r="O9" s="23"/>
      <c r="P9" s="23"/>
      <c r="Q9" s="23"/>
      <c r="R9" s="23"/>
      <c r="S9" s="23"/>
      <c r="T9" s="23"/>
      <c r="U9" s="23"/>
    </row>
    <row r="10" spans="1:21" x14ac:dyDescent="0.25">
      <c r="A10" s="334" t="s">
        <v>414</v>
      </c>
      <c r="B10" s="23"/>
      <c r="C10" s="23"/>
      <c r="D10" s="23"/>
      <c r="E10" s="23"/>
      <c r="F10" s="23"/>
      <c r="G10" s="23"/>
      <c r="H10" s="23"/>
      <c r="I10" s="23"/>
      <c r="J10" s="23"/>
      <c r="K10" s="23"/>
      <c r="L10" s="23"/>
      <c r="M10" s="23"/>
      <c r="N10" s="23"/>
      <c r="O10" s="23"/>
      <c r="P10" s="23"/>
      <c r="Q10" s="23"/>
      <c r="R10" s="23"/>
      <c r="S10" s="23"/>
      <c r="T10" s="23"/>
      <c r="U10" s="23"/>
    </row>
    <row r="11" spans="1:21" x14ac:dyDescent="0.25">
      <c r="A11" s="334" t="s">
        <v>415</v>
      </c>
      <c r="B11" s="23"/>
      <c r="C11" s="23"/>
      <c r="D11" s="23"/>
      <c r="E11" s="23"/>
      <c r="F11" s="23"/>
      <c r="G11" s="23"/>
      <c r="H11" s="23"/>
      <c r="I11" s="23"/>
      <c r="J11" s="23"/>
      <c r="K11" s="23"/>
      <c r="L11" s="23"/>
      <c r="M11" s="23"/>
      <c r="N11" s="23"/>
      <c r="O11" s="23"/>
      <c r="P11" s="23"/>
      <c r="Q11" s="23"/>
      <c r="R11" s="23"/>
      <c r="S11" s="23"/>
      <c r="T11" s="23"/>
      <c r="U11" s="23"/>
    </row>
    <row r="12" spans="1:21" x14ac:dyDescent="0.25">
      <c r="A12" s="334"/>
      <c r="B12" s="23"/>
      <c r="C12" s="23"/>
      <c r="D12" s="23"/>
      <c r="E12" s="23"/>
      <c r="F12" s="23"/>
      <c r="G12" s="23"/>
      <c r="H12" s="23"/>
      <c r="I12" s="23"/>
      <c r="J12" s="23"/>
      <c r="K12" s="23"/>
      <c r="L12" s="23"/>
      <c r="M12" s="23"/>
      <c r="N12" s="23"/>
      <c r="O12" s="23"/>
      <c r="P12" s="23"/>
      <c r="Q12" s="23"/>
      <c r="R12" s="23"/>
      <c r="S12" s="23"/>
      <c r="T12" s="23"/>
      <c r="U12" s="23"/>
    </row>
    <row r="13" spans="1:21" x14ac:dyDescent="0.25">
      <c r="A13" s="334" t="s">
        <v>416</v>
      </c>
      <c r="B13" s="23"/>
      <c r="C13" s="23"/>
      <c r="D13" s="23"/>
      <c r="E13" s="23"/>
      <c r="F13" s="23"/>
      <c r="G13" s="23"/>
      <c r="H13" s="23"/>
      <c r="I13" s="23"/>
      <c r="J13" s="23"/>
      <c r="K13" s="23"/>
      <c r="L13" s="23"/>
      <c r="M13" s="23"/>
      <c r="N13" s="23"/>
      <c r="O13" s="23"/>
      <c r="P13" s="23"/>
      <c r="Q13" s="23"/>
      <c r="R13" s="23"/>
      <c r="S13" s="23"/>
      <c r="T13" s="23"/>
      <c r="U13" s="23"/>
    </row>
    <row r="14" spans="1:21" x14ac:dyDescent="0.25">
      <c r="A14" s="334" t="s">
        <v>417</v>
      </c>
      <c r="B14" s="23"/>
      <c r="C14" s="23"/>
      <c r="D14" s="23"/>
      <c r="E14" s="23"/>
      <c r="F14" s="23"/>
      <c r="G14" s="23"/>
      <c r="H14" s="23"/>
      <c r="I14" s="23"/>
      <c r="J14" s="23"/>
      <c r="K14" s="23"/>
      <c r="L14" s="23"/>
      <c r="M14" s="23"/>
      <c r="N14" s="23"/>
      <c r="O14" s="23"/>
      <c r="P14" s="23"/>
      <c r="Q14" s="23"/>
      <c r="R14" s="23"/>
      <c r="S14" s="23"/>
      <c r="T14" s="23"/>
      <c r="U14" s="23"/>
    </row>
    <row r="15" spans="1:21" x14ac:dyDescent="0.25">
      <c r="A15" s="334" t="s">
        <v>364</v>
      </c>
      <c r="B15" s="23"/>
      <c r="C15" s="23"/>
      <c r="D15" s="23"/>
      <c r="E15" s="23"/>
      <c r="F15" s="23"/>
      <c r="G15" s="23"/>
      <c r="H15" s="23"/>
      <c r="I15" s="23"/>
      <c r="J15" s="23"/>
      <c r="K15" s="23"/>
      <c r="L15" s="23"/>
      <c r="M15" s="23"/>
      <c r="N15" s="23"/>
      <c r="O15" s="23"/>
      <c r="P15" s="23"/>
      <c r="Q15" s="23"/>
      <c r="R15" s="23"/>
      <c r="S15" s="23"/>
      <c r="T15" s="23"/>
      <c r="U15" s="23"/>
    </row>
    <row r="16" spans="1:21" x14ac:dyDescent="0.25">
      <c r="A16" s="334" t="s">
        <v>296</v>
      </c>
      <c r="B16" s="23"/>
      <c r="C16" s="23"/>
      <c r="D16" s="23"/>
      <c r="E16" s="23"/>
      <c r="F16" s="23"/>
      <c r="G16" s="23"/>
      <c r="H16" s="23"/>
      <c r="I16" s="23"/>
      <c r="J16" s="23"/>
      <c r="K16" s="23"/>
      <c r="L16" s="23"/>
      <c r="M16" s="23"/>
      <c r="N16" s="23"/>
      <c r="O16" s="23"/>
      <c r="P16" s="23"/>
      <c r="Q16" s="23"/>
      <c r="R16" s="23"/>
      <c r="S16" s="23"/>
      <c r="T16" s="23"/>
      <c r="U16" s="23"/>
    </row>
    <row r="17" spans="1:21" x14ac:dyDescent="0.25">
      <c r="A17" s="334" t="s">
        <v>321</v>
      </c>
      <c r="B17" s="23"/>
      <c r="C17" s="23"/>
      <c r="D17" s="23"/>
      <c r="E17" s="23"/>
      <c r="F17" s="23"/>
      <c r="G17" s="23"/>
      <c r="H17" s="23"/>
      <c r="I17" s="23"/>
      <c r="J17" s="23"/>
      <c r="K17" s="23"/>
      <c r="L17" s="23"/>
      <c r="M17" s="23"/>
      <c r="N17" s="23"/>
      <c r="O17" s="23"/>
      <c r="P17" s="23"/>
      <c r="Q17" s="23"/>
      <c r="R17" s="23"/>
      <c r="S17" s="23"/>
      <c r="T17" s="23"/>
      <c r="U17" s="23"/>
    </row>
    <row r="18" spans="1:21" x14ac:dyDescent="0.25">
      <c r="A18" s="334" t="s">
        <v>418</v>
      </c>
      <c r="B18" s="23"/>
      <c r="C18" s="23"/>
      <c r="D18" s="23"/>
      <c r="E18" s="23"/>
      <c r="F18" s="23"/>
      <c r="G18" s="23"/>
      <c r="H18" s="23"/>
      <c r="I18" s="23"/>
      <c r="J18" s="23"/>
      <c r="K18" s="23"/>
      <c r="L18" s="23"/>
      <c r="M18" s="23"/>
      <c r="N18" s="23"/>
      <c r="O18" s="23"/>
      <c r="P18" s="23"/>
      <c r="Q18" s="23"/>
      <c r="R18" s="23"/>
      <c r="S18" s="23"/>
      <c r="T18" s="23"/>
      <c r="U18" s="23"/>
    </row>
    <row r="19" spans="1:21" x14ac:dyDescent="0.25">
      <c r="A19" s="334"/>
      <c r="B19" s="23"/>
      <c r="C19" s="23"/>
      <c r="D19" s="23"/>
      <c r="E19" s="23"/>
      <c r="F19" s="23"/>
      <c r="G19" s="23"/>
      <c r="H19" s="23"/>
      <c r="I19" s="23"/>
      <c r="J19" s="23"/>
      <c r="K19" s="23"/>
      <c r="L19" s="23"/>
      <c r="M19" s="23"/>
      <c r="N19" s="23"/>
      <c r="O19" s="23"/>
      <c r="P19" s="23"/>
      <c r="Q19" s="23"/>
      <c r="R19" s="23"/>
      <c r="S19" s="23"/>
      <c r="T19" s="23"/>
      <c r="U19" s="23"/>
    </row>
    <row r="20" spans="1:21" x14ac:dyDescent="0.25">
      <c r="A20" s="339" t="s">
        <v>249</v>
      </c>
      <c r="B20" s="23"/>
      <c r="C20" s="23"/>
      <c r="D20" s="23"/>
      <c r="E20" s="23"/>
      <c r="F20" s="23"/>
      <c r="G20" s="23"/>
      <c r="H20" s="23"/>
      <c r="I20" s="23"/>
      <c r="J20" s="23"/>
      <c r="K20" s="23"/>
      <c r="L20" s="23"/>
      <c r="M20" s="23"/>
      <c r="N20" s="23"/>
      <c r="O20" s="23"/>
      <c r="P20" s="23"/>
      <c r="Q20" s="23"/>
      <c r="R20" s="23"/>
      <c r="S20" s="23"/>
      <c r="T20" s="23"/>
      <c r="U20" s="23"/>
    </row>
    <row r="21" spans="1:21" x14ac:dyDescent="0.25">
      <c r="A21" s="334" t="s">
        <v>419</v>
      </c>
      <c r="B21" s="23"/>
      <c r="C21" s="23"/>
      <c r="D21" s="23"/>
      <c r="E21" s="23"/>
      <c r="F21" s="23"/>
      <c r="G21" s="23"/>
      <c r="H21" s="23"/>
      <c r="I21" s="23"/>
      <c r="J21" s="23"/>
      <c r="K21" s="23"/>
      <c r="L21" s="23"/>
      <c r="M21" s="23"/>
      <c r="N21" s="23"/>
      <c r="O21" s="23"/>
      <c r="P21" s="23"/>
      <c r="Q21" s="23"/>
      <c r="R21" s="23"/>
      <c r="S21" s="23"/>
      <c r="T21" s="23"/>
      <c r="U21" s="23"/>
    </row>
    <row r="22" spans="1:21" x14ac:dyDescent="0.25">
      <c r="A22" s="334" t="s">
        <v>420</v>
      </c>
      <c r="B22" s="23"/>
      <c r="C22" s="23"/>
      <c r="D22" s="23"/>
      <c r="E22" s="23"/>
      <c r="F22" s="23"/>
      <c r="G22" s="23"/>
      <c r="H22" s="23"/>
      <c r="I22" s="23"/>
      <c r="J22" s="23"/>
      <c r="K22" s="23"/>
      <c r="L22" s="23"/>
      <c r="M22" s="23"/>
      <c r="N22" s="23"/>
      <c r="O22" s="23"/>
      <c r="P22" s="23"/>
      <c r="Q22" s="23"/>
      <c r="R22" s="23"/>
      <c r="S22" s="23"/>
      <c r="T22" s="23"/>
      <c r="U22" s="23"/>
    </row>
    <row r="23" spans="1:21" x14ac:dyDescent="0.25">
      <c r="A23" s="334" t="s">
        <v>297</v>
      </c>
      <c r="B23" s="23"/>
      <c r="C23" s="23"/>
      <c r="D23" s="23"/>
      <c r="E23" s="23"/>
      <c r="F23" s="23"/>
      <c r="G23" s="23"/>
      <c r="H23" s="23"/>
      <c r="I23" s="23"/>
      <c r="J23" s="23"/>
      <c r="K23" s="23"/>
      <c r="L23" s="23"/>
      <c r="M23" s="23"/>
      <c r="N23" s="23"/>
      <c r="O23" s="23"/>
      <c r="P23" s="23"/>
      <c r="Q23" s="23"/>
      <c r="R23" s="23"/>
      <c r="S23" s="23"/>
      <c r="T23" s="23"/>
      <c r="U23" s="23"/>
    </row>
    <row r="24" spans="1:21" x14ac:dyDescent="0.25">
      <c r="A24" s="334" t="s">
        <v>421</v>
      </c>
      <c r="B24" s="23"/>
      <c r="C24" s="23"/>
      <c r="D24" s="23"/>
      <c r="E24" s="23"/>
      <c r="F24" s="23"/>
      <c r="G24" s="23"/>
      <c r="H24" s="23"/>
      <c r="I24" s="23"/>
      <c r="J24" s="23"/>
      <c r="K24" s="23"/>
      <c r="L24" s="23"/>
      <c r="M24" s="23"/>
      <c r="N24" s="23"/>
      <c r="O24" s="23"/>
      <c r="P24" s="23"/>
      <c r="Q24" s="23"/>
      <c r="R24" s="23"/>
      <c r="S24" s="23"/>
      <c r="T24" s="23"/>
      <c r="U24" s="23"/>
    </row>
    <row r="25" spans="1:21" x14ac:dyDescent="0.25">
      <c r="A25" s="334" t="s">
        <v>298</v>
      </c>
      <c r="B25" s="23"/>
      <c r="C25" s="23"/>
      <c r="D25" s="23"/>
      <c r="E25" s="23"/>
      <c r="F25" s="23"/>
      <c r="G25" s="23"/>
      <c r="H25" s="23"/>
      <c r="I25" s="23"/>
      <c r="J25" s="23"/>
      <c r="K25" s="23"/>
      <c r="L25" s="23"/>
      <c r="M25" s="23"/>
      <c r="N25" s="23"/>
      <c r="O25" s="23"/>
      <c r="P25" s="23"/>
      <c r="Q25" s="23"/>
      <c r="R25" s="23"/>
      <c r="S25" s="23"/>
      <c r="T25" s="23"/>
      <c r="U25" s="23"/>
    </row>
    <row r="26" spans="1:21" x14ac:dyDescent="0.25">
      <c r="A26" s="334" t="s">
        <v>422</v>
      </c>
      <c r="B26" s="23"/>
      <c r="C26" s="23"/>
      <c r="D26" s="23"/>
      <c r="E26" s="23"/>
      <c r="F26" s="23"/>
      <c r="G26" s="23"/>
      <c r="H26" s="23"/>
      <c r="I26" s="23"/>
      <c r="J26" s="23"/>
      <c r="K26" s="23"/>
      <c r="L26" s="23"/>
      <c r="M26" s="23"/>
      <c r="N26" s="23"/>
      <c r="O26" s="23"/>
      <c r="P26" s="23"/>
      <c r="Q26" s="23"/>
      <c r="R26" s="23"/>
      <c r="S26" s="23"/>
      <c r="T26" s="23"/>
      <c r="U26" s="23"/>
    </row>
    <row r="27" spans="1:21" x14ac:dyDescent="0.25">
      <c r="A27" s="334" t="s">
        <v>299</v>
      </c>
      <c r="B27" s="23"/>
      <c r="C27" s="23"/>
      <c r="D27" s="23"/>
      <c r="E27" s="23"/>
      <c r="F27" s="23"/>
      <c r="G27" s="23"/>
      <c r="H27" s="23"/>
      <c r="I27" s="23"/>
      <c r="J27" s="23"/>
      <c r="K27" s="23"/>
      <c r="L27" s="23"/>
      <c r="M27" s="23"/>
      <c r="N27" s="23"/>
      <c r="O27" s="23"/>
      <c r="P27" s="23"/>
      <c r="Q27" s="23"/>
      <c r="R27" s="23"/>
      <c r="S27" s="23"/>
      <c r="T27" s="23"/>
      <c r="U27" s="23"/>
    </row>
    <row r="28" spans="1:21" x14ac:dyDescent="0.25">
      <c r="A28" s="334" t="s">
        <v>250</v>
      </c>
      <c r="B28" s="23"/>
      <c r="C28" s="23"/>
      <c r="D28" s="23"/>
      <c r="E28" s="23"/>
      <c r="F28" s="23"/>
      <c r="G28" s="23"/>
      <c r="H28" s="23"/>
      <c r="I28" s="23"/>
      <c r="J28" s="23"/>
      <c r="K28" s="23"/>
      <c r="L28" s="23"/>
      <c r="M28" s="23"/>
      <c r="N28" s="23"/>
      <c r="O28" s="23"/>
      <c r="P28" s="23"/>
      <c r="Q28" s="23"/>
      <c r="R28" s="23"/>
      <c r="S28" s="23"/>
      <c r="T28" s="23"/>
      <c r="U28" s="23"/>
    </row>
    <row r="29" spans="1:21" x14ac:dyDescent="0.25">
      <c r="A29" s="334"/>
      <c r="B29" s="23"/>
      <c r="C29" s="23"/>
      <c r="D29" s="23"/>
      <c r="E29" s="23"/>
      <c r="F29" s="23"/>
      <c r="G29" s="23"/>
      <c r="H29" s="23"/>
      <c r="I29" s="23"/>
      <c r="J29" s="23"/>
      <c r="K29" s="23"/>
      <c r="L29" s="23"/>
      <c r="M29" s="23"/>
      <c r="N29" s="23"/>
      <c r="O29" s="23"/>
      <c r="P29" s="23"/>
      <c r="Q29" s="23"/>
      <c r="R29" s="23"/>
      <c r="S29" s="23"/>
      <c r="T29" s="23"/>
      <c r="U29" s="23"/>
    </row>
    <row r="30" spans="1:21" x14ac:dyDescent="0.25">
      <c r="A30" s="339" t="s">
        <v>210</v>
      </c>
      <c r="B30" s="23"/>
      <c r="C30" s="23"/>
      <c r="D30" s="23"/>
      <c r="E30" s="23"/>
      <c r="F30" s="23"/>
      <c r="G30" s="23"/>
      <c r="H30" s="23"/>
      <c r="I30" s="23"/>
      <c r="J30" s="23"/>
      <c r="K30" s="23"/>
      <c r="L30" s="23"/>
      <c r="M30" s="23"/>
      <c r="N30" s="23"/>
      <c r="O30" s="23"/>
      <c r="P30" s="23"/>
      <c r="Q30" s="23"/>
      <c r="R30" s="23"/>
      <c r="S30" s="23"/>
      <c r="T30" s="23"/>
      <c r="U30" s="23"/>
    </row>
    <row r="31" spans="1:21" x14ac:dyDescent="0.25">
      <c r="A31" s="334" t="s">
        <v>300</v>
      </c>
      <c r="B31" s="23"/>
      <c r="C31" s="23"/>
      <c r="D31" s="23"/>
      <c r="E31" s="23"/>
      <c r="F31" s="23"/>
      <c r="G31" s="23"/>
      <c r="H31" s="23"/>
      <c r="I31" s="23"/>
      <c r="J31" s="23"/>
      <c r="K31" s="23"/>
      <c r="L31" s="23"/>
      <c r="M31" s="23"/>
      <c r="N31" s="23"/>
      <c r="O31" s="23"/>
      <c r="P31" s="23"/>
      <c r="Q31" s="23"/>
      <c r="R31" s="23"/>
      <c r="S31" s="23"/>
      <c r="T31" s="23"/>
      <c r="U31" s="23"/>
    </row>
    <row r="32" spans="1:21" x14ac:dyDescent="0.25">
      <c r="A32" s="334" t="s">
        <v>301</v>
      </c>
      <c r="B32" s="23"/>
      <c r="C32" s="23"/>
      <c r="D32" s="23"/>
      <c r="E32" s="23"/>
      <c r="F32" s="23"/>
      <c r="G32" s="23"/>
      <c r="H32" s="23"/>
      <c r="I32" s="23"/>
      <c r="J32" s="23"/>
      <c r="K32" s="23"/>
      <c r="L32" s="23"/>
      <c r="M32" s="23"/>
      <c r="N32" s="23"/>
      <c r="O32" s="23"/>
      <c r="P32" s="23"/>
      <c r="Q32" s="23"/>
      <c r="R32" s="23"/>
      <c r="S32" s="23"/>
      <c r="T32" s="23"/>
      <c r="U32" s="23"/>
    </row>
    <row r="33" spans="1:21" x14ac:dyDescent="0.25">
      <c r="A33" s="334" t="s">
        <v>215</v>
      </c>
      <c r="B33" s="23"/>
      <c r="C33" s="23"/>
      <c r="D33" s="23"/>
      <c r="E33" s="23"/>
      <c r="F33" s="23"/>
      <c r="G33" s="23"/>
      <c r="H33" s="23"/>
      <c r="I33" s="23"/>
      <c r="J33" s="23"/>
      <c r="K33" s="23"/>
      <c r="L33" s="23"/>
      <c r="M33" s="23"/>
      <c r="N33" s="23"/>
      <c r="O33" s="23"/>
      <c r="P33" s="23"/>
      <c r="Q33" s="23"/>
      <c r="R33" s="23"/>
      <c r="S33" s="23"/>
      <c r="T33" s="23"/>
      <c r="U33" s="23"/>
    </row>
    <row r="34" spans="1:21" x14ac:dyDescent="0.25">
      <c r="A34" s="334"/>
      <c r="B34" s="23"/>
      <c r="C34" s="23"/>
      <c r="D34" s="23"/>
      <c r="E34" s="23"/>
      <c r="F34" s="23"/>
      <c r="G34" s="23"/>
      <c r="H34" s="23"/>
      <c r="I34" s="23"/>
      <c r="J34" s="23"/>
      <c r="K34" s="23"/>
      <c r="L34" s="23"/>
      <c r="M34" s="23"/>
      <c r="N34" s="23"/>
      <c r="O34" s="23"/>
      <c r="P34" s="23"/>
      <c r="Q34" s="23"/>
      <c r="R34" s="23"/>
      <c r="S34" s="23"/>
      <c r="T34" s="23"/>
      <c r="U34" s="23"/>
    </row>
    <row r="35" spans="1:21" x14ac:dyDescent="0.25">
      <c r="A35" s="334" t="s">
        <v>302</v>
      </c>
      <c r="B35" s="23"/>
      <c r="C35" s="23"/>
      <c r="D35" s="23"/>
      <c r="E35" s="23"/>
      <c r="F35" s="23"/>
      <c r="G35" s="23"/>
      <c r="H35" s="23"/>
      <c r="I35" s="23"/>
      <c r="J35" s="23"/>
      <c r="K35" s="23"/>
      <c r="L35" s="23"/>
      <c r="M35" s="23"/>
      <c r="N35" s="23"/>
      <c r="O35" s="23"/>
      <c r="P35" s="23"/>
      <c r="Q35" s="23"/>
      <c r="R35" s="23"/>
      <c r="S35" s="23"/>
      <c r="T35" s="23"/>
      <c r="U35" s="23"/>
    </row>
    <row r="36" spans="1:21" x14ac:dyDescent="0.25">
      <c r="A36" s="339"/>
      <c r="B36" s="23"/>
      <c r="C36" s="23"/>
      <c r="D36" s="23"/>
      <c r="E36" s="23"/>
      <c r="F36" s="23"/>
      <c r="G36" s="23"/>
      <c r="H36" s="23"/>
      <c r="I36" s="23"/>
      <c r="J36" s="23"/>
      <c r="K36" s="23"/>
      <c r="L36" s="23"/>
      <c r="M36" s="23"/>
      <c r="N36" s="23"/>
      <c r="O36" s="23"/>
      <c r="P36" s="23"/>
      <c r="Q36" s="23"/>
      <c r="R36" s="23"/>
      <c r="S36" s="23"/>
      <c r="T36" s="23"/>
      <c r="U36" s="23"/>
    </row>
    <row r="37" spans="1:21" x14ac:dyDescent="0.25">
      <c r="A37" s="334" t="s">
        <v>303</v>
      </c>
      <c r="B37" s="23"/>
      <c r="C37" s="23"/>
      <c r="D37" s="23"/>
      <c r="E37" s="23"/>
      <c r="F37" s="23"/>
      <c r="G37" s="23"/>
      <c r="H37" s="23"/>
      <c r="I37" s="23"/>
      <c r="J37" s="23"/>
      <c r="K37" s="23"/>
      <c r="L37" s="23"/>
      <c r="M37" s="23"/>
      <c r="N37" s="23"/>
      <c r="O37" s="23"/>
      <c r="P37" s="23"/>
      <c r="Q37" s="23"/>
      <c r="R37" s="23"/>
      <c r="S37" s="23"/>
      <c r="T37" s="23"/>
      <c r="U37" s="23"/>
    </row>
    <row r="38" spans="1:21" x14ac:dyDescent="0.25">
      <c r="A38" s="334" t="s">
        <v>263</v>
      </c>
      <c r="B38" s="23"/>
      <c r="C38" s="23"/>
      <c r="D38" s="23"/>
      <c r="E38" s="23"/>
      <c r="F38" s="23"/>
      <c r="G38" s="23"/>
      <c r="H38" s="23"/>
      <c r="I38" s="23"/>
      <c r="J38" s="23"/>
      <c r="K38" s="23"/>
      <c r="L38" s="23"/>
      <c r="M38" s="23"/>
      <c r="N38" s="23"/>
      <c r="O38" s="23"/>
      <c r="P38" s="23"/>
      <c r="Q38" s="23"/>
      <c r="R38" s="23"/>
      <c r="S38" s="23"/>
      <c r="T38" s="23"/>
      <c r="U38" s="23"/>
    </row>
    <row r="39" spans="1:21" x14ac:dyDescent="0.25">
      <c r="A39" s="334" t="s">
        <v>322</v>
      </c>
      <c r="B39" s="23"/>
      <c r="C39" s="23"/>
      <c r="D39" s="23"/>
      <c r="E39" s="23"/>
      <c r="F39" s="23"/>
      <c r="G39" s="23"/>
      <c r="H39" s="23"/>
      <c r="I39" s="23"/>
      <c r="J39" s="23"/>
      <c r="K39" s="23"/>
      <c r="L39" s="23"/>
      <c r="M39" s="23"/>
      <c r="N39" s="23"/>
      <c r="O39" s="23"/>
      <c r="P39" s="23"/>
      <c r="Q39" s="23"/>
      <c r="R39" s="23"/>
      <c r="S39" s="23"/>
      <c r="T39" s="23"/>
      <c r="U39" s="23"/>
    </row>
    <row r="40" spans="1:21" x14ac:dyDescent="0.25">
      <c r="A40" s="334" t="s">
        <v>323</v>
      </c>
      <c r="B40" s="23"/>
      <c r="C40" s="23"/>
      <c r="D40" s="23"/>
      <c r="E40" s="23"/>
      <c r="F40" s="23"/>
      <c r="G40" s="23"/>
      <c r="H40" s="23"/>
      <c r="I40" s="23"/>
      <c r="J40" s="23"/>
      <c r="K40" s="23"/>
      <c r="L40" s="23"/>
      <c r="M40" s="23"/>
      <c r="N40" s="23"/>
      <c r="O40" s="23"/>
      <c r="P40" s="23"/>
      <c r="Q40" s="23"/>
      <c r="R40" s="23"/>
      <c r="S40" s="23"/>
      <c r="T40" s="23"/>
      <c r="U40" s="23"/>
    </row>
    <row r="41" spans="1:21" x14ac:dyDescent="0.25">
      <c r="A41" s="334" t="s">
        <v>262</v>
      </c>
      <c r="B41" s="23"/>
      <c r="C41" s="23"/>
      <c r="D41" s="23"/>
      <c r="E41" s="23"/>
      <c r="F41" s="23"/>
      <c r="G41" s="23"/>
      <c r="H41" s="23"/>
      <c r="I41" s="23"/>
      <c r="J41" s="23"/>
      <c r="K41" s="23"/>
      <c r="L41" s="23"/>
      <c r="M41" s="23"/>
      <c r="N41" s="23"/>
      <c r="O41" s="23"/>
      <c r="P41" s="23"/>
      <c r="Q41" s="23"/>
      <c r="R41" s="23"/>
      <c r="S41" s="23"/>
      <c r="T41" s="23"/>
      <c r="U41" s="23"/>
    </row>
    <row r="42" spans="1:21" x14ac:dyDescent="0.25">
      <c r="A42" s="334"/>
      <c r="B42" s="23"/>
      <c r="C42" s="23"/>
      <c r="D42" s="23"/>
      <c r="E42" s="23"/>
      <c r="F42" s="23"/>
      <c r="G42" s="23"/>
      <c r="H42" s="23"/>
      <c r="I42" s="23"/>
      <c r="J42" s="23"/>
      <c r="K42" s="23"/>
      <c r="L42" s="23"/>
      <c r="M42" s="23"/>
      <c r="N42" s="23"/>
      <c r="O42" s="23"/>
      <c r="P42" s="23"/>
      <c r="Q42" s="23"/>
      <c r="R42" s="23"/>
      <c r="S42" s="23"/>
      <c r="T42" s="23"/>
      <c r="U42" s="23"/>
    </row>
    <row r="43" spans="1:21" x14ac:dyDescent="0.25">
      <c r="A43" s="334" t="s">
        <v>264</v>
      </c>
      <c r="B43" s="23"/>
      <c r="C43" s="23"/>
      <c r="D43" s="23"/>
      <c r="E43" s="23"/>
      <c r="F43" s="23"/>
      <c r="G43" s="23"/>
      <c r="H43" s="23"/>
      <c r="I43" s="23"/>
      <c r="J43" s="23"/>
      <c r="K43" s="23"/>
      <c r="L43" s="23"/>
      <c r="M43" s="23"/>
      <c r="N43" s="23"/>
      <c r="O43" s="23"/>
      <c r="P43" s="23"/>
      <c r="Q43" s="23"/>
      <c r="R43" s="23"/>
      <c r="S43" s="23"/>
      <c r="T43" s="23"/>
      <c r="U43" s="23"/>
    </row>
    <row r="44" spans="1:21" x14ac:dyDescent="0.25">
      <c r="A44" s="334"/>
      <c r="B44" s="23"/>
      <c r="C44" s="23"/>
      <c r="D44" s="23"/>
      <c r="E44" s="23"/>
      <c r="F44" s="23"/>
      <c r="G44" s="23"/>
      <c r="H44" s="23"/>
      <c r="I44" s="23"/>
      <c r="J44" s="23"/>
      <c r="K44" s="23"/>
      <c r="L44" s="23"/>
      <c r="M44" s="23"/>
      <c r="N44" s="23"/>
      <c r="O44" s="23"/>
      <c r="P44" s="23"/>
      <c r="Q44" s="23"/>
      <c r="R44" s="23"/>
      <c r="S44" s="23"/>
      <c r="T44" s="23"/>
      <c r="U44" s="23"/>
    </row>
    <row r="45" spans="1:21" x14ac:dyDescent="0.25">
      <c r="A45" s="334" t="s">
        <v>394</v>
      </c>
      <c r="B45" s="23"/>
      <c r="C45" s="23"/>
      <c r="D45" s="23"/>
      <c r="E45" s="23"/>
      <c r="F45" s="23"/>
      <c r="G45" s="23"/>
      <c r="H45" s="23"/>
      <c r="I45" s="23"/>
      <c r="J45" s="23"/>
      <c r="K45" s="23"/>
      <c r="L45" s="23"/>
      <c r="M45" s="23"/>
      <c r="N45" s="23"/>
      <c r="O45" s="23"/>
      <c r="P45" s="23"/>
      <c r="Q45" s="23"/>
      <c r="R45" s="23"/>
      <c r="S45" s="23"/>
      <c r="T45" s="23"/>
      <c r="U45" s="23"/>
    </row>
    <row r="46" spans="1:21" x14ac:dyDescent="0.25">
      <c r="A46" s="334"/>
      <c r="B46" s="23"/>
      <c r="C46" s="23"/>
      <c r="D46" s="23"/>
      <c r="E46" s="23"/>
      <c r="F46" s="23"/>
      <c r="G46" s="23"/>
      <c r="H46" s="23"/>
      <c r="I46" s="23"/>
      <c r="J46" s="23"/>
      <c r="K46" s="23"/>
      <c r="L46" s="23"/>
      <c r="M46" s="23"/>
      <c r="N46" s="23"/>
      <c r="O46" s="23"/>
      <c r="P46" s="23"/>
      <c r="Q46" s="23"/>
      <c r="R46" s="23"/>
      <c r="S46" s="23"/>
      <c r="T46" s="23"/>
      <c r="U46" s="23"/>
    </row>
    <row r="47" spans="1:21" x14ac:dyDescent="0.25">
      <c r="A47" s="339" t="s">
        <v>213</v>
      </c>
      <c r="B47" s="23"/>
      <c r="C47" s="23"/>
      <c r="D47" s="23"/>
      <c r="E47" s="23"/>
      <c r="F47" s="23"/>
      <c r="G47" s="23"/>
      <c r="H47" s="23"/>
      <c r="I47" s="23"/>
      <c r="J47" s="23"/>
      <c r="K47" s="23"/>
      <c r="L47" s="23"/>
      <c r="M47" s="23"/>
      <c r="N47" s="23"/>
      <c r="O47" s="23"/>
      <c r="P47" s="23"/>
      <c r="Q47" s="23"/>
      <c r="R47" s="23"/>
      <c r="S47" s="23"/>
      <c r="T47" s="23"/>
      <c r="U47" s="23"/>
    </row>
    <row r="48" spans="1:21" x14ac:dyDescent="0.25">
      <c r="A48" s="334" t="s">
        <v>378</v>
      </c>
      <c r="B48" s="23"/>
      <c r="C48" s="23"/>
      <c r="D48" s="23"/>
      <c r="E48" s="23"/>
      <c r="F48" s="23"/>
      <c r="G48" s="23"/>
      <c r="H48" s="23"/>
      <c r="I48" s="23"/>
      <c r="J48" s="23"/>
      <c r="K48" s="23"/>
      <c r="L48" s="23"/>
      <c r="M48" s="23"/>
      <c r="N48" s="23"/>
      <c r="O48" s="23"/>
      <c r="P48" s="23"/>
      <c r="Q48" s="23"/>
      <c r="R48" s="23"/>
      <c r="S48" s="23"/>
      <c r="T48" s="23"/>
      <c r="U48" s="23"/>
    </row>
    <row r="49" spans="1:21" x14ac:dyDescent="0.25">
      <c r="A49" s="334" t="s">
        <v>423</v>
      </c>
      <c r="B49" s="23"/>
      <c r="C49" s="23"/>
      <c r="D49" s="23"/>
      <c r="E49" s="23"/>
      <c r="F49" s="23"/>
      <c r="G49" s="23"/>
      <c r="H49" s="23"/>
      <c r="I49" s="23"/>
      <c r="J49" s="23"/>
      <c r="K49" s="23"/>
      <c r="L49" s="23"/>
      <c r="M49" s="23"/>
      <c r="N49" s="23"/>
      <c r="O49" s="23"/>
      <c r="P49" s="23"/>
      <c r="Q49" s="23"/>
      <c r="R49" s="23"/>
      <c r="S49" s="23"/>
      <c r="T49" s="23"/>
      <c r="U49" s="23"/>
    </row>
    <row r="50" spans="1:21" x14ac:dyDescent="0.25">
      <c r="A50" s="334" t="s">
        <v>379</v>
      </c>
      <c r="B50" s="23"/>
      <c r="C50" s="23"/>
      <c r="D50" s="23"/>
      <c r="E50" s="23"/>
      <c r="F50" s="23"/>
      <c r="G50" s="23"/>
      <c r="H50" s="23"/>
      <c r="I50" s="23"/>
      <c r="J50" s="23"/>
      <c r="K50" s="23"/>
      <c r="L50" s="23"/>
      <c r="M50" s="23"/>
      <c r="N50" s="23"/>
      <c r="O50" s="23"/>
      <c r="P50" s="23"/>
      <c r="Q50" s="23"/>
      <c r="R50" s="23"/>
      <c r="S50" s="23"/>
      <c r="T50" s="23"/>
      <c r="U50" s="23"/>
    </row>
    <row r="51" spans="1:21" x14ac:dyDescent="0.25">
      <c r="A51" s="334" t="s">
        <v>424</v>
      </c>
      <c r="B51" s="23"/>
      <c r="C51" s="23"/>
      <c r="D51" s="23"/>
      <c r="E51" s="23"/>
      <c r="F51" s="23"/>
      <c r="G51" s="23"/>
      <c r="H51" s="23"/>
      <c r="I51" s="23"/>
      <c r="J51" s="23"/>
      <c r="K51" s="23"/>
      <c r="L51" s="23"/>
      <c r="M51" s="23"/>
      <c r="N51" s="23"/>
      <c r="O51" s="23"/>
      <c r="P51" s="23"/>
      <c r="Q51" s="23"/>
      <c r="R51" s="23"/>
      <c r="S51" s="23"/>
      <c r="T51" s="23"/>
      <c r="U51" s="23"/>
    </row>
    <row r="52" spans="1:21" x14ac:dyDescent="0.25">
      <c r="A52" s="334"/>
      <c r="B52" s="23"/>
      <c r="C52" s="23"/>
      <c r="D52" s="23"/>
      <c r="E52" s="23"/>
      <c r="F52" s="23"/>
      <c r="G52" s="23"/>
      <c r="H52" s="23"/>
      <c r="I52" s="23"/>
      <c r="J52" s="23"/>
      <c r="K52" s="23"/>
      <c r="L52" s="23"/>
      <c r="M52" s="23"/>
      <c r="N52" s="23"/>
      <c r="O52" s="23"/>
      <c r="P52" s="23"/>
      <c r="Q52" s="23"/>
      <c r="R52" s="23"/>
      <c r="S52" s="23"/>
      <c r="T52" s="23"/>
      <c r="U52" s="23"/>
    </row>
    <row r="53" spans="1:21" x14ac:dyDescent="0.25">
      <c r="A53" s="335" t="s">
        <v>370</v>
      </c>
      <c r="B53" s="23"/>
      <c r="C53" s="23"/>
      <c r="D53" s="23"/>
      <c r="E53" s="23"/>
      <c r="F53" s="23"/>
      <c r="G53" s="23"/>
      <c r="H53" s="23"/>
      <c r="I53" s="23"/>
      <c r="J53" s="23"/>
      <c r="K53" s="23"/>
      <c r="L53" s="23"/>
      <c r="M53" s="23"/>
      <c r="N53" s="23"/>
      <c r="O53" s="23"/>
      <c r="P53" s="23"/>
      <c r="Q53" s="23"/>
      <c r="R53" s="23"/>
      <c r="S53" s="23"/>
      <c r="T53" s="23"/>
      <c r="U53" s="23"/>
    </row>
    <row r="54" spans="1:21" x14ac:dyDescent="0.25">
      <c r="A54" s="334"/>
      <c r="B54" s="23"/>
      <c r="C54" s="23"/>
      <c r="D54" s="23"/>
      <c r="E54" s="23"/>
      <c r="F54" s="23"/>
      <c r="G54" s="23"/>
      <c r="H54" s="23"/>
      <c r="I54" s="23"/>
      <c r="J54" s="23"/>
      <c r="K54" s="23"/>
      <c r="L54" s="23"/>
      <c r="M54" s="23"/>
      <c r="N54" s="23"/>
      <c r="O54" s="23"/>
      <c r="P54" s="23"/>
      <c r="Q54" s="23"/>
      <c r="R54" s="23"/>
      <c r="S54" s="23"/>
      <c r="T54" s="23"/>
      <c r="U54" s="23"/>
    </row>
    <row r="55" spans="1:21" x14ac:dyDescent="0.25">
      <c r="A55" s="334" t="s">
        <v>309</v>
      </c>
      <c r="B55" s="23"/>
      <c r="C55" s="23"/>
      <c r="D55" s="23"/>
      <c r="E55" s="23"/>
      <c r="F55" s="23"/>
      <c r="G55" s="23"/>
      <c r="H55" s="23"/>
      <c r="I55" s="23"/>
      <c r="J55" s="23"/>
      <c r="K55" s="23"/>
      <c r="L55" s="23"/>
      <c r="M55" s="23"/>
      <c r="N55" s="23"/>
      <c r="O55" s="23"/>
      <c r="P55" s="23"/>
      <c r="Q55" s="23"/>
      <c r="R55" s="23"/>
      <c r="S55" s="23"/>
      <c r="T55" s="23"/>
      <c r="U55" s="23"/>
    </row>
    <row r="56" spans="1:21" x14ac:dyDescent="0.25">
      <c r="A56" s="334" t="s">
        <v>425</v>
      </c>
      <c r="B56" s="23"/>
      <c r="C56" s="23"/>
      <c r="D56" s="23"/>
      <c r="E56" s="23"/>
      <c r="F56" s="23"/>
      <c r="G56" s="23"/>
      <c r="H56" s="23"/>
      <c r="I56" s="23"/>
      <c r="J56" s="23"/>
      <c r="K56" s="23"/>
      <c r="L56" s="23"/>
      <c r="M56" s="23"/>
      <c r="N56" s="23"/>
      <c r="O56" s="23"/>
      <c r="P56" s="23"/>
      <c r="Q56" s="23"/>
      <c r="R56" s="23"/>
      <c r="S56" s="23"/>
      <c r="T56" s="23"/>
      <c r="U56" s="23"/>
    </row>
    <row r="57" spans="1:21" x14ac:dyDescent="0.25">
      <c r="A57" s="334"/>
      <c r="B57" s="23"/>
      <c r="C57" s="23"/>
      <c r="D57" s="23"/>
      <c r="E57" s="23"/>
      <c r="F57" s="23"/>
      <c r="G57" s="23"/>
      <c r="H57" s="23"/>
      <c r="I57" s="23"/>
      <c r="J57" s="23"/>
      <c r="K57" s="23"/>
      <c r="L57" s="23"/>
      <c r="M57" s="23"/>
      <c r="N57" s="23"/>
      <c r="O57" s="23"/>
      <c r="P57" s="23"/>
      <c r="Q57" s="23"/>
      <c r="R57" s="23"/>
      <c r="S57" s="23"/>
      <c r="T57" s="23"/>
      <c r="U57" s="23"/>
    </row>
    <row r="58" spans="1:21" x14ac:dyDescent="0.25">
      <c r="A58" s="339" t="s">
        <v>265</v>
      </c>
      <c r="B58" s="23"/>
      <c r="C58" s="23"/>
      <c r="D58" s="23"/>
      <c r="E58" s="23"/>
      <c r="F58" s="23"/>
      <c r="G58" s="23"/>
      <c r="H58" s="23"/>
      <c r="I58" s="23"/>
      <c r="J58" s="23"/>
      <c r="K58" s="23"/>
      <c r="L58" s="23"/>
      <c r="M58" s="23"/>
      <c r="N58" s="23"/>
      <c r="O58" s="23"/>
      <c r="P58" s="23"/>
      <c r="Q58" s="23"/>
      <c r="R58" s="23"/>
      <c r="S58" s="23"/>
      <c r="T58" s="23"/>
      <c r="U58" s="23"/>
    </row>
    <row r="59" spans="1:21" x14ac:dyDescent="0.25">
      <c r="A59" s="339" t="s">
        <v>324</v>
      </c>
      <c r="B59" s="23"/>
      <c r="C59" s="23"/>
      <c r="D59" s="23"/>
      <c r="E59" s="23"/>
      <c r="F59" s="23"/>
      <c r="G59" s="23"/>
      <c r="H59" s="23"/>
      <c r="I59" s="23"/>
      <c r="J59" s="23"/>
      <c r="K59" s="23"/>
      <c r="L59" s="23"/>
      <c r="M59" s="23"/>
      <c r="N59" s="23"/>
      <c r="O59" s="23"/>
      <c r="P59" s="23"/>
      <c r="Q59" s="23"/>
      <c r="R59" s="23"/>
      <c r="S59" s="23"/>
      <c r="T59" s="23"/>
      <c r="U59" s="23"/>
    </row>
    <row r="60" spans="1:21" x14ac:dyDescent="0.25">
      <c r="A60" s="334" t="s">
        <v>325</v>
      </c>
      <c r="B60" s="23"/>
      <c r="C60" s="23"/>
      <c r="D60" s="23"/>
      <c r="E60" s="23"/>
      <c r="F60" s="23"/>
      <c r="G60" s="23"/>
      <c r="H60" s="23"/>
      <c r="I60" s="23"/>
      <c r="J60" s="23"/>
      <c r="K60" s="23"/>
      <c r="L60" s="23"/>
      <c r="M60" s="23"/>
      <c r="N60" s="23"/>
      <c r="O60" s="23"/>
      <c r="P60" s="23"/>
      <c r="Q60" s="23"/>
      <c r="R60" s="23"/>
      <c r="S60" s="23"/>
      <c r="T60" s="23"/>
      <c r="U60" s="23"/>
    </row>
    <row r="61" spans="1:21" x14ac:dyDescent="0.25">
      <c r="A61" s="334" t="s">
        <v>304</v>
      </c>
      <c r="B61" s="23"/>
      <c r="C61" s="23"/>
      <c r="D61" s="23"/>
      <c r="E61" s="23"/>
      <c r="F61" s="23"/>
      <c r="G61" s="23"/>
      <c r="H61" s="23"/>
      <c r="I61" s="23"/>
      <c r="J61" s="23"/>
      <c r="K61" s="23"/>
      <c r="L61" s="23"/>
      <c r="M61" s="23"/>
      <c r="N61" s="23"/>
      <c r="O61" s="23"/>
      <c r="P61" s="23"/>
      <c r="Q61" s="23"/>
      <c r="R61" s="23"/>
      <c r="S61" s="23"/>
      <c r="T61" s="23"/>
      <c r="U61" s="23"/>
    </row>
    <row r="62" spans="1:21" x14ac:dyDescent="0.25">
      <c r="A62" s="339" t="s">
        <v>426</v>
      </c>
      <c r="B62" s="23"/>
      <c r="C62" s="23"/>
      <c r="D62" s="23"/>
      <c r="E62" s="23"/>
      <c r="F62" s="23"/>
      <c r="G62" s="23"/>
      <c r="H62" s="23"/>
      <c r="I62" s="23"/>
      <c r="J62" s="23"/>
      <c r="K62" s="23"/>
      <c r="L62" s="23"/>
      <c r="M62" s="23"/>
      <c r="N62" s="23"/>
      <c r="O62" s="23"/>
      <c r="P62" s="23"/>
      <c r="Q62" s="23"/>
      <c r="R62" s="23"/>
      <c r="S62" s="23"/>
      <c r="T62" s="23"/>
      <c r="U62" s="23"/>
    </row>
    <row r="63" spans="1:21" x14ac:dyDescent="0.25">
      <c r="A63" s="334" t="s">
        <v>326</v>
      </c>
      <c r="B63" s="23"/>
      <c r="C63" s="23"/>
      <c r="D63" s="23"/>
      <c r="E63" s="23"/>
      <c r="F63" s="23"/>
      <c r="G63" s="23"/>
      <c r="H63" s="23"/>
      <c r="I63" s="23"/>
      <c r="J63" s="23"/>
      <c r="K63" s="23"/>
      <c r="L63" s="23"/>
      <c r="M63" s="23"/>
      <c r="N63" s="23"/>
      <c r="O63" s="23"/>
      <c r="P63" s="23"/>
      <c r="Q63" s="23"/>
      <c r="R63" s="23"/>
      <c r="S63" s="23"/>
      <c r="T63" s="23"/>
      <c r="U63" s="23"/>
    </row>
    <row r="64" spans="1:21" x14ac:dyDescent="0.25">
      <c r="A64" s="334" t="s">
        <v>266</v>
      </c>
      <c r="B64" s="23"/>
      <c r="C64" s="23"/>
      <c r="D64" s="23"/>
      <c r="E64" s="23"/>
      <c r="F64" s="23"/>
      <c r="G64" s="23"/>
      <c r="H64" s="23"/>
      <c r="I64" s="23"/>
      <c r="J64" s="23"/>
      <c r="K64" s="23"/>
      <c r="L64" s="23"/>
      <c r="M64" s="23"/>
      <c r="N64" s="23"/>
      <c r="O64" s="23"/>
      <c r="P64" s="23"/>
      <c r="Q64" s="23"/>
      <c r="R64" s="23"/>
      <c r="S64" s="23"/>
      <c r="T64" s="23"/>
      <c r="U64" s="23"/>
    </row>
    <row r="65" spans="1:21" x14ac:dyDescent="0.25">
      <c r="A65" s="339" t="s">
        <v>427</v>
      </c>
      <c r="B65" s="23"/>
      <c r="C65" s="23"/>
      <c r="D65" s="23"/>
      <c r="E65" s="23"/>
      <c r="F65" s="23"/>
      <c r="G65" s="23"/>
      <c r="H65" s="23"/>
      <c r="I65" s="23"/>
      <c r="J65" s="23"/>
      <c r="K65" s="23"/>
      <c r="L65" s="23"/>
      <c r="M65" s="23"/>
      <c r="N65" s="23"/>
      <c r="O65" s="23"/>
      <c r="P65" s="23"/>
      <c r="Q65" s="23"/>
      <c r="R65" s="23"/>
      <c r="S65" s="23"/>
      <c r="T65" s="23"/>
      <c r="U65" s="23"/>
    </row>
    <row r="66" spans="1:21" x14ac:dyDescent="0.25">
      <c r="A66" s="334" t="s">
        <v>327</v>
      </c>
      <c r="B66" s="23"/>
      <c r="C66" s="23"/>
      <c r="D66" s="23"/>
      <c r="E66" s="23"/>
      <c r="F66" s="23"/>
      <c r="G66" s="23"/>
      <c r="H66" s="23"/>
      <c r="I66" s="23"/>
      <c r="J66" s="23"/>
      <c r="K66" s="23"/>
      <c r="L66" s="23"/>
      <c r="M66" s="23"/>
      <c r="N66" s="23"/>
      <c r="O66" s="23"/>
      <c r="P66" s="23"/>
      <c r="Q66" s="23"/>
      <c r="R66" s="23"/>
      <c r="S66" s="23"/>
      <c r="T66" s="23"/>
      <c r="U66" s="23"/>
    </row>
    <row r="67" spans="1:21" x14ac:dyDescent="0.25">
      <c r="A67" s="334" t="s">
        <v>428</v>
      </c>
      <c r="B67" s="23"/>
      <c r="C67" s="23"/>
      <c r="D67" s="23"/>
      <c r="E67" s="23"/>
      <c r="F67" s="23"/>
      <c r="G67" s="23"/>
      <c r="H67" s="23"/>
      <c r="I67" s="23"/>
      <c r="J67" s="23"/>
      <c r="K67" s="23"/>
      <c r="L67" s="23"/>
      <c r="M67" s="23"/>
      <c r="N67" s="23"/>
      <c r="O67" s="23"/>
      <c r="P67" s="23"/>
      <c r="Q67" s="23"/>
      <c r="R67" s="23"/>
      <c r="S67" s="23"/>
      <c r="T67" s="23"/>
      <c r="U67" s="23"/>
    </row>
    <row r="68" spans="1:21" x14ac:dyDescent="0.25">
      <c r="A68" s="339" t="s">
        <v>328</v>
      </c>
      <c r="B68" s="23"/>
      <c r="C68" s="23"/>
      <c r="D68" s="23"/>
      <c r="E68" s="23"/>
      <c r="F68" s="23"/>
      <c r="G68" s="23"/>
      <c r="H68" s="23"/>
      <c r="I68" s="23"/>
      <c r="J68" s="23"/>
      <c r="K68" s="23"/>
      <c r="L68" s="23"/>
      <c r="M68" s="23"/>
      <c r="N68" s="23"/>
      <c r="O68" s="23"/>
      <c r="P68" s="23"/>
      <c r="Q68" s="23"/>
      <c r="R68" s="23"/>
      <c r="S68" s="23"/>
      <c r="T68" s="23"/>
      <c r="U68" s="23"/>
    </row>
    <row r="69" spans="1:21" x14ac:dyDescent="0.25">
      <c r="A69" s="334" t="s">
        <v>329</v>
      </c>
      <c r="B69" s="23"/>
      <c r="C69" s="23"/>
      <c r="D69" s="23"/>
      <c r="E69" s="23"/>
      <c r="F69" s="23"/>
      <c r="G69" s="23"/>
      <c r="H69" s="23"/>
      <c r="I69" s="23"/>
      <c r="J69" s="23"/>
      <c r="K69" s="23"/>
      <c r="L69" s="23"/>
      <c r="M69" s="23"/>
      <c r="N69" s="23"/>
      <c r="O69" s="23"/>
      <c r="P69" s="23"/>
      <c r="Q69" s="23"/>
      <c r="R69" s="23"/>
      <c r="S69" s="23"/>
      <c r="T69" s="23"/>
      <c r="U69" s="23"/>
    </row>
    <row r="70" spans="1:21" x14ac:dyDescent="0.25">
      <c r="A70" s="339" t="s">
        <v>330</v>
      </c>
      <c r="B70" s="23"/>
      <c r="C70" s="23"/>
      <c r="D70" s="23"/>
      <c r="E70" s="23"/>
      <c r="F70" s="23"/>
      <c r="G70" s="23"/>
      <c r="H70" s="23"/>
      <c r="I70" s="23"/>
      <c r="J70" s="23"/>
      <c r="K70" s="23"/>
      <c r="L70" s="23"/>
      <c r="M70" s="23"/>
      <c r="N70" s="23"/>
      <c r="O70" s="23"/>
      <c r="P70" s="23"/>
      <c r="Q70" s="23"/>
      <c r="R70" s="23"/>
      <c r="S70" s="23"/>
      <c r="T70" s="23"/>
      <c r="U70" s="23"/>
    </row>
    <row r="71" spans="1:21" x14ac:dyDescent="0.25">
      <c r="A71" s="334" t="s">
        <v>331</v>
      </c>
      <c r="B71" s="23"/>
      <c r="C71" s="23"/>
      <c r="D71" s="23"/>
      <c r="E71" s="23"/>
      <c r="F71" s="23"/>
      <c r="G71" s="23"/>
      <c r="H71" s="23"/>
      <c r="I71" s="23"/>
      <c r="J71" s="23"/>
      <c r="K71" s="23"/>
      <c r="L71" s="23"/>
      <c r="M71" s="23"/>
      <c r="N71" s="23"/>
      <c r="O71" s="23"/>
      <c r="P71" s="23"/>
      <c r="Q71" s="23"/>
      <c r="R71" s="23"/>
      <c r="S71" s="23"/>
      <c r="T71" s="23"/>
      <c r="U71" s="23"/>
    </row>
    <row r="72" spans="1:21" x14ac:dyDescent="0.25">
      <c r="A72" s="334" t="s">
        <v>429</v>
      </c>
      <c r="B72" s="23"/>
      <c r="C72" s="23"/>
      <c r="D72" s="23"/>
      <c r="E72" s="23"/>
      <c r="F72" s="23"/>
      <c r="G72" s="23"/>
      <c r="H72" s="23"/>
      <c r="I72" s="23"/>
      <c r="J72" s="23"/>
      <c r="K72" s="23"/>
      <c r="L72" s="23"/>
      <c r="M72" s="23"/>
      <c r="N72" s="23"/>
      <c r="O72" s="23"/>
      <c r="P72" s="23"/>
      <c r="Q72" s="23"/>
      <c r="R72" s="23"/>
      <c r="S72" s="23"/>
      <c r="T72" s="23"/>
      <c r="U72" s="23"/>
    </row>
    <row r="73" spans="1:21" x14ac:dyDescent="0.25">
      <c r="A73" s="339" t="s">
        <v>332</v>
      </c>
      <c r="B73" s="23"/>
      <c r="C73" s="23"/>
      <c r="D73" s="23"/>
      <c r="E73" s="23"/>
      <c r="F73" s="23"/>
      <c r="G73" s="23"/>
      <c r="H73" s="23"/>
      <c r="I73" s="23"/>
      <c r="J73" s="23"/>
      <c r="K73" s="23"/>
      <c r="L73" s="23"/>
      <c r="M73" s="23"/>
      <c r="N73" s="23"/>
      <c r="O73" s="23"/>
      <c r="P73" s="23"/>
      <c r="Q73" s="23"/>
      <c r="R73" s="23"/>
      <c r="S73" s="23"/>
      <c r="T73" s="23"/>
      <c r="U73" s="23"/>
    </row>
    <row r="74" spans="1:21" x14ac:dyDescent="0.25">
      <c r="A74" s="334" t="s">
        <v>333</v>
      </c>
      <c r="B74" s="23"/>
      <c r="C74" s="23"/>
      <c r="D74" s="23"/>
      <c r="E74" s="23"/>
      <c r="F74" s="23"/>
      <c r="G74" s="23"/>
      <c r="H74" s="23"/>
      <c r="I74" s="23"/>
      <c r="J74" s="23"/>
      <c r="K74" s="23"/>
      <c r="L74" s="23"/>
      <c r="M74" s="23"/>
      <c r="N74" s="23"/>
      <c r="O74" s="23"/>
      <c r="P74" s="23"/>
      <c r="Q74" s="23"/>
      <c r="R74" s="23"/>
      <c r="S74" s="23"/>
      <c r="T74" s="23"/>
      <c r="U74" s="23"/>
    </row>
    <row r="75" spans="1:21" x14ac:dyDescent="0.25">
      <c r="A75" s="334" t="s">
        <v>251</v>
      </c>
      <c r="B75" s="23"/>
      <c r="C75" s="23"/>
      <c r="D75" s="23"/>
      <c r="E75" s="23"/>
      <c r="F75" s="23"/>
      <c r="G75" s="23"/>
      <c r="H75" s="23"/>
      <c r="I75" s="23"/>
      <c r="J75" s="23"/>
      <c r="K75" s="23"/>
      <c r="L75" s="23"/>
      <c r="M75" s="23"/>
      <c r="N75" s="23"/>
      <c r="O75" s="23"/>
      <c r="P75" s="23"/>
      <c r="Q75" s="23"/>
      <c r="R75" s="23"/>
      <c r="S75" s="23"/>
      <c r="T75" s="23"/>
      <c r="U75" s="23"/>
    </row>
    <row r="76" spans="1:21" x14ac:dyDescent="0.25">
      <c r="A76" s="334" t="s">
        <v>252</v>
      </c>
      <c r="B76" s="23"/>
      <c r="C76" s="23"/>
      <c r="D76" s="23"/>
      <c r="E76" s="23"/>
      <c r="F76" s="23"/>
      <c r="G76" s="23"/>
      <c r="H76" s="23"/>
      <c r="I76" s="23"/>
      <c r="J76" s="23"/>
      <c r="K76" s="23"/>
      <c r="L76" s="23"/>
      <c r="M76" s="23"/>
      <c r="N76" s="23"/>
      <c r="O76" s="23"/>
      <c r="P76" s="23"/>
      <c r="Q76" s="23"/>
      <c r="R76" s="23"/>
      <c r="S76" s="23"/>
      <c r="T76" s="23"/>
      <c r="U76" s="23"/>
    </row>
    <row r="77" spans="1:21" x14ac:dyDescent="0.25">
      <c r="A77" s="339" t="s">
        <v>334</v>
      </c>
      <c r="B77" s="23"/>
      <c r="C77" s="23"/>
      <c r="D77" s="23"/>
      <c r="E77" s="23"/>
      <c r="F77" s="23"/>
      <c r="G77" s="23"/>
      <c r="H77" s="23"/>
      <c r="I77" s="23"/>
      <c r="J77" s="23"/>
      <c r="K77" s="23"/>
      <c r="L77" s="23"/>
      <c r="M77" s="23"/>
      <c r="N77" s="23"/>
      <c r="O77" s="23"/>
      <c r="P77" s="23"/>
      <c r="Q77" s="23"/>
      <c r="R77" s="23"/>
      <c r="S77" s="23"/>
      <c r="T77" s="23"/>
      <c r="U77" s="23"/>
    </row>
    <row r="78" spans="1:21" x14ac:dyDescent="0.25">
      <c r="A78" s="334" t="s">
        <v>335</v>
      </c>
      <c r="B78" s="23"/>
      <c r="C78" s="23"/>
      <c r="D78" s="23"/>
      <c r="E78" s="23"/>
      <c r="F78" s="23"/>
      <c r="G78" s="23"/>
      <c r="H78" s="23"/>
      <c r="I78" s="23"/>
      <c r="J78" s="23"/>
      <c r="K78" s="23"/>
      <c r="L78" s="23"/>
      <c r="M78" s="23"/>
      <c r="N78" s="23"/>
      <c r="O78" s="23"/>
      <c r="P78" s="23"/>
      <c r="Q78" s="23"/>
      <c r="R78" s="23"/>
      <c r="S78" s="23"/>
      <c r="T78" s="23"/>
      <c r="U78" s="23"/>
    </row>
    <row r="79" spans="1:21" x14ac:dyDescent="0.25">
      <c r="A79" s="334" t="s">
        <v>336</v>
      </c>
      <c r="B79" s="23"/>
      <c r="C79" s="23"/>
      <c r="D79" s="23"/>
      <c r="E79" s="23"/>
      <c r="F79" s="23"/>
      <c r="G79" s="23"/>
      <c r="H79" s="23"/>
      <c r="I79" s="23"/>
      <c r="J79" s="23"/>
      <c r="K79" s="23"/>
      <c r="L79" s="23"/>
      <c r="M79" s="23"/>
      <c r="N79" s="23"/>
      <c r="O79" s="23"/>
      <c r="P79" s="23"/>
      <c r="Q79" s="23"/>
      <c r="R79" s="23"/>
      <c r="S79" s="23"/>
      <c r="T79" s="23"/>
      <c r="U79" s="23"/>
    </row>
    <row r="80" spans="1:21" x14ac:dyDescent="0.25">
      <c r="A80" s="339" t="s">
        <v>337</v>
      </c>
      <c r="B80" s="23"/>
      <c r="C80" s="23"/>
      <c r="D80" s="23"/>
      <c r="E80" s="23"/>
      <c r="F80" s="23"/>
      <c r="G80" s="23"/>
      <c r="H80" s="23"/>
      <c r="I80" s="23"/>
      <c r="J80" s="23"/>
      <c r="K80" s="23"/>
      <c r="L80" s="23"/>
      <c r="M80" s="23"/>
      <c r="N80" s="23"/>
      <c r="O80" s="23"/>
      <c r="P80" s="23"/>
      <c r="Q80" s="23"/>
      <c r="R80" s="23"/>
      <c r="S80" s="23"/>
      <c r="T80" s="23"/>
      <c r="U80" s="23"/>
    </row>
    <row r="81" spans="1:21" x14ac:dyDescent="0.25">
      <c r="A81" s="334" t="s">
        <v>338</v>
      </c>
      <c r="B81" s="23"/>
      <c r="C81" s="23"/>
      <c r="D81" s="23"/>
      <c r="E81" s="23"/>
      <c r="F81" s="23"/>
      <c r="G81" s="23"/>
      <c r="H81" s="23"/>
      <c r="I81" s="23"/>
      <c r="J81" s="23"/>
      <c r="K81" s="23"/>
      <c r="L81" s="23"/>
      <c r="M81" s="23"/>
      <c r="N81" s="23"/>
      <c r="O81" s="23"/>
      <c r="P81" s="23"/>
      <c r="Q81" s="23"/>
      <c r="R81" s="23"/>
      <c r="S81" s="23"/>
      <c r="T81" s="23"/>
      <c r="U81" s="23"/>
    </row>
    <row r="82" spans="1:21" x14ac:dyDescent="0.25">
      <c r="A82" s="334" t="s">
        <v>267</v>
      </c>
      <c r="B82" s="23"/>
      <c r="C82" s="23"/>
      <c r="D82" s="23"/>
      <c r="E82" s="23"/>
      <c r="F82" s="23"/>
      <c r="G82" s="23"/>
      <c r="H82" s="23"/>
      <c r="I82" s="23"/>
      <c r="J82" s="23"/>
      <c r="K82" s="23"/>
      <c r="L82" s="23"/>
      <c r="M82" s="23"/>
      <c r="N82" s="23"/>
      <c r="O82" s="23"/>
      <c r="P82" s="23"/>
      <c r="Q82" s="23"/>
      <c r="R82" s="23"/>
      <c r="S82" s="23"/>
      <c r="T82" s="23"/>
      <c r="U82" s="23"/>
    </row>
    <row r="83" spans="1:21" x14ac:dyDescent="0.25">
      <c r="A83" s="334" t="s">
        <v>430</v>
      </c>
      <c r="B83" s="23"/>
      <c r="C83" s="23"/>
      <c r="D83" s="23"/>
      <c r="E83" s="23"/>
      <c r="F83" s="23"/>
      <c r="G83" s="23"/>
      <c r="H83" s="23"/>
      <c r="I83" s="23"/>
      <c r="J83" s="23"/>
      <c r="K83" s="23"/>
      <c r="L83" s="23"/>
      <c r="M83" s="23"/>
      <c r="N83" s="23"/>
      <c r="O83" s="23"/>
      <c r="P83" s="23"/>
      <c r="Q83" s="23"/>
      <c r="R83" s="23"/>
      <c r="S83" s="23"/>
      <c r="T83" s="23"/>
      <c r="U83" s="23"/>
    </row>
    <row r="84" spans="1:21" x14ac:dyDescent="0.25">
      <c r="A84" s="339" t="s">
        <v>339</v>
      </c>
      <c r="B84" s="23"/>
      <c r="C84" s="23"/>
      <c r="D84" s="23"/>
      <c r="E84" s="23"/>
      <c r="F84" s="23"/>
      <c r="G84" s="23"/>
      <c r="H84" s="23"/>
      <c r="I84" s="23"/>
      <c r="J84" s="23"/>
      <c r="K84" s="23"/>
      <c r="L84" s="23"/>
      <c r="M84" s="23"/>
      <c r="N84" s="23"/>
      <c r="O84" s="23"/>
      <c r="P84" s="23"/>
      <c r="Q84" s="23"/>
      <c r="R84" s="23"/>
      <c r="S84" s="23"/>
      <c r="T84" s="23"/>
      <c r="U84" s="23"/>
    </row>
    <row r="85" spans="1:21" x14ac:dyDescent="0.25">
      <c r="A85" s="334" t="s">
        <v>340</v>
      </c>
      <c r="B85" s="23"/>
      <c r="C85" s="23"/>
      <c r="D85" s="23"/>
      <c r="E85" s="23"/>
      <c r="F85" s="23"/>
      <c r="G85" s="23"/>
      <c r="H85" s="23"/>
      <c r="I85" s="23"/>
      <c r="J85" s="23"/>
      <c r="K85" s="23"/>
      <c r="L85" s="23"/>
      <c r="M85" s="23"/>
      <c r="N85" s="23"/>
      <c r="O85" s="23"/>
      <c r="P85" s="23"/>
      <c r="Q85" s="23"/>
      <c r="R85" s="23"/>
      <c r="S85" s="23"/>
      <c r="T85" s="23"/>
      <c r="U85" s="23"/>
    </row>
    <row r="86" spans="1:21" x14ac:dyDescent="0.25">
      <c r="A86" s="339" t="s">
        <v>341</v>
      </c>
      <c r="B86" s="23"/>
      <c r="C86" s="23"/>
      <c r="D86" s="23"/>
      <c r="E86" s="23"/>
      <c r="F86" s="23"/>
      <c r="G86" s="23"/>
      <c r="H86" s="23"/>
      <c r="I86" s="23"/>
      <c r="J86" s="23"/>
      <c r="K86" s="23"/>
      <c r="L86" s="23"/>
      <c r="M86" s="23"/>
      <c r="N86" s="23"/>
      <c r="O86" s="23"/>
      <c r="P86" s="23"/>
      <c r="Q86" s="23"/>
      <c r="R86" s="23"/>
      <c r="S86" s="23"/>
      <c r="T86" s="23"/>
      <c r="U86" s="23"/>
    </row>
    <row r="87" spans="1:21" x14ac:dyDescent="0.25">
      <c r="A87" s="334" t="s">
        <v>374</v>
      </c>
      <c r="B87" s="23"/>
      <c r="C87" s="23"/>
      <c r="D87" s="23"/>
      <c r="E87" s="23"/>
      <c r="F87" s="23"/>
      <c r="G87" s="23"/>
      <c r="H87" s="23"/>
      <c r="I87" s="23"/>
      <c r="J87" s="23"/>
      <c r="K87" s="23"/>
      <c r="L87" s="23"/>
      <c r="M87" s="23"/>
      <c r="N87" s="23"/>
      <c r="O87" s="23"/>
      <c r="P87" s="23"/>
      <c r="Q87" s="23"/>
      <c r="R87" s="23"/>
      <c r="S87" s="23"/>
      <c r="T87" s="23"/>
      <c r="U87" s="23"/>
    </row>
    <row r="88" spans="1:21" x14ac:dyDescent="0.25">
      <c r="A88" s="339" t="s">
        <v>342</v>
      </c>
      <c r="B88" s="23"/>
      <c r="C88" s="23"/>
      <c r="D88" s="23"/>
      <c r="E88" s="23"/>
      <c r="F88" s="23"/>
      <c r="G88" s="23"/>
      <c r="H88" s="23"/>
      <c r="I88" s="23"/>
      <c r="J88" s="23"/>
      <c r="K88" s="23"/>
      <c r="L88" s="23"/>
      <c r="M88" s="23"/>
      <c r="N88" s="23"/>
      <c r="O88" s="23"/>
      <c r="P88" s="23"/>
      <c r="Q88" s="23"/>
      <c r="R88" s="23"/>
      <c r="S88" s="23"/>
      <c r="T88" s="23"/>
      <c r="U88" s="23"/>
    </row>
    <row r="89" spans="1:21" x14ac:dyDescent="0.25">
      <c r="A89" s="334" t="s">
        <v>381</v>
      </c>
      <c r="B89" s="23"/>
      <c r="C89" s="23"/>
      <c r="D89" s="23"/>
      <c r="E89" s="23"/>
      <c r="F89" s="23"/>
      <c r="G89" s="23"/>
      <c r="H89" s="23"/>
      <c r="I89" s="23"/>
      <c r="J89" s="23"/>
      <c r="K89" s="23"/>
      <c r="L89" s="23"/>
      <c r="M89" s="23"/>
      <c r="N89" s="23"/>
      <c r="O89" s="23"/>
      <c r="P89" s="23"/>
      <c r="Q89" s="23"/>
      <c r="R89" s="23"/>
      <c r="S89" s="23"/>
      <c r="T89" s="23"/>
      <c r="U89" s="23"/>
    </row>
    <row r="90" spans="1:21" x14ac:dyDescent="0.25">
      <c r="A90" s="334" t="s">
        <v>305</v>
      </c>
      <c r="B90" s="23"/>
      <c r="C90" s="23"/>
      <c r="D90" s="23"/>
      <c r="E90" s="23"/>
      <c r="F90" s="23"/>
      <c r="G90" s="23"/>
      <c r="H90" s="23"/>
      <c r="I90" s="23"/>
      <c r="J90" s="23"/>
      <c r="K90" s="23"/>
      <c r="L90" s="23"/>
      <c r="M90" s="23"/>
      <c r="N90" s="23"/>
      <c r="O90" s="23"/>
      <c r="P90" s="23"/>
      <c r="Q90" s="23"/>
      <c r="R90" s="23"/>
      <c r="S90" s="23"/>
      <c r="T90" s="23"/>
      <c r="U90" s="23"/>
    </row>
    <row r="91" spans="1:21" x14ac:dyDescent="0.25">
      <c r="A91" s="334" t="s">
        <v>431</v>
      </c>
      <c r="B91" s="23"/>
      <c r="C91" s="23"/>
      <c r="D91" s="23"/>
      <c r="E91" s="23"/>
      <c r="F91" s="23"/>
      <c r="G91" s="23"/>
      <c r="H91" s="23"/>
      <c r="I91" s="23"/>
      <c r="J91" s="23"/>
      <c r="K91" s="23"/>
      <c r="L91" s="23"/>
      <c r="M91" s="23"/>
      <c r="N91" s="23"/>
      <c r="O91" s="23"/>
      <c r="P91" s="23"/>
      <c r="Q91" s="23"/>
      <c r="R91" s="23"/>
      <c r="S91" s="23"/>
      <c r="T91" s="23"/>
      <c r="U91" s="23"/>
    </row>
    <row r="92" spans="1:21" x14ac:dyDescent="0.25">
      <c r="A92" s="334" t="s">
        <v>432</v>
      </c>
      <c r="B92" s="23"/>
      <c r="C92" s="23"/>
      <c r="D92" s="23"/>
      <c r="E92" s="23"/>
      <c r="F92" s="23"/>
      <c r="G92" s="23"/>
      <c r="H92" s="23"/>
      <c r="I92" s="23"/>
      <c r="J92" s="23"/>
      <c r="K92" s="23"/>
      <c r="L92" s="23"/>
      <c r="M92" s="23"/>
      <c r="N92" s="23"/>
      <c r="O92" s="23"/>
      <c r="P92" s="23"/>
      <c r="Q92" s="23"/>
      <c r="R92" s="23"/>
      <c r="S92" s="23"/>
      <c r="T92" s="23"/>
      <c r="U92" s="23"/>
    </row>
    <row r="93" spans="1:21" x14ac:dyDescent="0.25">
      <c r="A93" s="334" t="s">
        <v>433</v>
      </c>
      <c r="B93" s="23"/>
      <c r="C93" s="23"/>
      <c r="D93" s="23"/>
      <c r="E93" s="23"/>
      <c r="F93" s="23"/>
      <c r="G93" s="23"/>
      <c r="H93" s="23"/>
      <c r="I93" s="23"/>
      <c r="J93" s="23"/>
      <c r="K93" s="23"/>
      <c r="L93" s="23"/>
      <c r="M93" s="23"/>
      <c r="N93" s="23"/>
      <c r="O93" s="23"/>
      <c r="P93" s="23"/>
      <c r="Q93" s="23"/>
      <c r="R93" s="23"/>
      <c r="S93" s="23"/>
      <c r="T93" s="23"/>
      <c r="U93" s="23"/>
    </row>
    <row r="94" spans="1:21" x14ac:dyDescent="0.25">
      <c r="A94" s="334" t="s">
        <v>306</v>
      </c>
      <c r="B94" s="23"/>
      <c r="C94" s="23"/>
      <c r="D94" s="23"/>
      <c r="E94" s="23"/>
      <c r="F94" s="23"/>
      <c r="G94" s="23"/>
      <c r="H94" s="23"/>
      <c r="I94" s="23"/>
      <c r="J94" s="23"/>
      <c r="K94" s="23"/>
      <c r="L94" s="23"/>
      <c r="M94" s="23"/>
      <c r="N94" s="23"/>
      <c r="O94" s="23"/>
      <c r="P94" s="23"/>
      <c r="Q94" s="23"/>
      <c r="R94" s="23"/>
      <c r="S94" s="23"/>
      <c r="T94" s="23"/>
      <c r="U94" s="23"/>
    </row>
    <row r="95" spans="1:21" x14ac:dyDescent="0.25">
      <c r="A95" s="334" t="s">
        <v>434</v>
      </c>
      <c r="B95" s="23"/>
      <c r="C95" s="23"/>
      <c r="D95" s="23"/>
      <c r="E95" s="23"/>
      <c r="F95" s="23"/>
      <c r="G95" s="23"/>
      <c r="H95" s="23"/>
      <c r="I95" s="23"/>
      <c r="J95" s="23"/>
      <c r="K95" s="23"/>
      <c r="L95" s="23"/>
      <c r="M95" s="23"/>
      <c r="N95" s="23"/>
      <c r="O95" s="23"/>
      <c r="P95" s="23"/>
      <c r="Q95" s="23"/>
      <c r="R95" s="23"/>
      <c r="S95" s="23"/>
      <c r="T95" s="23"/>
      <c r="U95" s="23"/>
    </row>
    <row r="96" spans="1:21" x14ac:dyDescent="0.25">
      <c r="A96" s="334" t="s">
        <v>343</v>
      </c>
      <c r="B96" s="23"/>
      <c r="C96" s="23"/>
      <c r="D96" s="23"/>
      <c r="E96" s="23"/>
      <c r="F96" s="23"/>
      <c r="G96" s="23"/>
      <c r="H96" s="23"/>
      <c r="I96" s="23"/>
      <c r="J96" s="23"/>
      <c r="K96" s="23"/>
      <c r="L96" s="23"/>
      <c r="M96" s="23"/>
      <c r="N96" s="23"/>
      <c r="O96" s="23"/>
      <c r="P96" s="23"/>
      <c r="Q96" s="23"/>
      <c r="R96" s="23"/>
      <c r="S96" s="23"/>
      <c r="T96" s="23"/>
      <c r="U96" s="23"/>
    </row>
    <row r="97" spans="1:21" x14ac:dyDescent="0.25">
      <c r="A97" s="339" t="s">
        <v>344</v>
      </c>
      <c r="B97" s="23"/>
      <c r="C97" s="23"/>
      <c r="D97" s="23"/>
      <c r="E97" s="23"/>
      <c r="F97" s="23"/>
      <c r="G97" s="23"/>
      <c r="H97" s="23"/>
      <c r="I97" s="23"/>
      <c r="J97" s="23"/>
      <c r="K97" s="23"/>
      <c r="L97" s="23"/>
      <c r="M97" s="23"/>
      <c r="N97" s="23"/>
      <c r="O97" s="23"/>
      <c r="P97" s="23"/>
      <c r="Q97" s="23"/>
      <c r="R97" s="23"/>
      <c r="S97" s="23"/>
      <c r="T97" s="23"/>
      <c r="U97" s="23"/>
    </row>
    <row r="98" spans="1:21" x14ac:dyDescent="0.25">
      <c r="A98" s="334" t="s">
        <v>382</v>
      </c>
      <c r="B98" s="23"/>
      <c r="C98" s="23"/>
      <c r="D98" s="23"/>
      <c r="E98" s="23"/>
      <c r="F98" s="23"/>
      <c r="G98" s="23"/>
      <c r="H98" s="23"/>
      <c r="I98" s="23"/>
      <c r="J98" s="23"/>
      <c r="K98" s="23"/>
      <c r="L98" s="23"/>
      <c r="M98" s="23"/>
      <c r="N98" s="23"/>
      <c r="O98" s="23"/>
      <c r="P98" s="23"/>
      <c r="Q98" s="23"/>
      <c r="R98" s="23"/>
      <c r="S98" s="23"/>
      <c r="T98" s="23"/>
      <c r="U98" s="23"/>
    </row>
    <row r="99" spans="1:21" x14ac:dyDescent="0.25">
      <c r="A99" s="339" t="s">
        <v>345</v>
      </c>
      <c r="B99" s="23"/>
      <c r="C99" s="23"/>
      <c r="D99" s="23"/>
      <c r="E99" s="23"/>
      <c r="F99" s="23"/>
      <c r="G99" s="23"/>
      <c r="H99" s="23"/>
      <c r="I99" s="23"/>
      <c r="J99" s="23"/>
      <c r="K99" s="23"/>
      <c r="L99" s="23"/>
      <c r="M99" s="23"/>
      <c r="N99" s="23"/>
      <c r="O99" s="23"/>
      <c r="P99" s="23"/>
      <c r="Q99" s="23"/>
      <c r="R99" s="23"/>
      <c r="S99" s="23"/>
      <c r="T99" s="23"/>
      <c r="U99" s="23"/>
    </row>
    <row r="100" spans="1:21" x14ac:dyDescent="0.25">
      <c r="A100" s="334" t="s">
        <v>346</v>
      </c>
      <c r="B100" s="23"/>
      <c r="C100" s="23"/>
      <c r="D100" s="23"/>
      <c r="E100" s="23"/>
      <c r="F100" s="23"/>
      <c r="G100" s="23"/>
      <c r="H100" s="23"/>
      <c r="I100" s="23"/>
      <c r="J100" s="23"/>
      <c r="K100" s="23"/>
      <c r="L100" s="23"/>
      <c r="M100" s="23"/>
      <c r="N100" s="23"/>
      <c r="O100" s="23"/>
      <c r="P100" s="23"/>
      <c r="Q100" s="23"/>
      <c r="R100" s="23"/>
      <c r="S100" s="23"/>
      <c r="T100" s="23"/>
      <c r="U100" s="23"/>
    </row>
    <row r="101" spans="1:21" x14ac:dyDescent="0.25">
      <c r="A101" s="339" t="s">
        <v>347</v>
      </c>
      <c r="B101" s="23"/>
      <c r="C101" s="23"/>
      <c r="D101" s="23"/>
      <c r="E101" s="23"/>
      <c r="F101" s="23"/>
      <c r="G101" s="23"/>
      <c r="H101" s="23"/>
      <c r="I101" s="23"/>
      <c r="J101" s="23"/>
      <c r="K101" s="23"/>
      <c r="L101" s="23"/>
      <c r="M101" s="23"/>
      <c r="N101" s="23"/>
      <c r="O101" s="23"/>
      <c r="P101" s="23"/>
      <c r="Q101" s="23"/>
      <c r="R101" s="23"/>
      <c r="S101" s="23"/>
      <c r="T101" s="23"/>
      <c r="U101" s="23"/>
    </row>
    <row r="102" spans="1:21" x14ac:dyDescent="0.25">
      <c r="A102" s="334" t="s">
        <v>348</v>
      </c>
      <c r="B102" s="23"/>
      <c r="C102" s="23"/>
      <c r="D102" s="23"/>
      <c r="E102" s="23"/>
      <c r="F102" s="23"/>
      <c r="G102" s="23"/>
      <c r="H102" s="23"/>
      <c r="I102" s="23"/>
      <c r="J102" s="23"/>
      <c r="K102" s="23"/>
      <c r="L102" s="23"/>
      <c r="M102" s="23"/>
      <c r="N102" s="23"/>
      <c r="O102" s="23"/>
      <c r="P102" s="23"/>
      <c r="Q102" s="23"/>
      <c r="R102" s="23"/>
      <c r="S102" s="23"/>
      <c r="T102" s="23"/>
      <c r="U102" s="23"/>
    </row>
    <row r="103" spans="1:21" x14ac:dyDescent="0.25">
      <c r="A103" s="339" t="s">
        <v>349</v>
      </c>
      <c r="B103" s="23"/>
      <c r="C103" s="23"/>
      <c r="D103" s="23"/>
      <c r="E103" s="23"/>
      <c r="F103" s="23"/>
      <c r="G103" s="23"/>
      <c r="H103" s="23"/>
      <c r="I103" s="23"/>
      <c r="J103" s="23"/>
      <c r="K103" s="23"/>
      <c r="L103" s="23"/>
      <c r="M103" s="23"/>
      <c r="N103" s="23"/>
      <c r="O103" s="23"/>
      <c r="P103" s="23"/>
      <c r="Q103" s="23"/>
      <c r="R103" s="23"/>
      <c r="S103" s="23"/>
      <c r="T103" s="23"/>
      <c r="U103" s="23"/>
    </row>
    <row r="104" spans="1:21" x14ac:dyDescent="0.25">
      <c r="A104" s="334" t="s">
        <v>350</v>
      </c>
      <c r="B104" s="23"/>
      <c r="C104" s="23"/>
      <c r="D104" s="23"/>
      <c r="E104" s="23"/>
      <c r="F104" s="23"/>
      <c r="G104" s="23"/>
      <c r="H104" s="23"/>
      <c r="I104" s="23"/>
      <c r="J104" s="23"/>
      <c r="K104" s="23"/>
      <c r="L104" s="23"/>
      <c r="M104" s="23"/>
      <c r="N104" s="23"/>
      <c r="O104" s="23"/>
      <c r="P104" s="23"/>
      <c r="Q104" s="23"/>
      <c r="R104" s="23"/>
      <c r="S104" s="23"/>
      <c r="T104" s="23"/>
      <c r="U104" s="23"/>
    </row>
    <row r="105" spans="1:21" x14ac:dyDescent="0.25">
      <c r="A105" s="339" t="s">
        <v>351</v>
      </c>
      <c r="B105" s="23"/>
      <c r="C105" s="23"/>
      <c r="D105" s="23"/>
      <c r="E105" s="23"/>
      <c r="F105" s="23"/>
      <c r="G105" s="23"/>
      <c r="H105" s="23"/>
      <c r="I105" s="23"/>
      <c r="J105" s="23"/>
      <c r="K105" s="23"/>
      <c r="L105" s="23"/>
      <c r="M105" s="23"/>
      <c r="N105" s="23"/>
      <c r="O105" s="23"/>
      <c r="P105" s="23"/>
      <c r="Q105" s="23"/>
      <c r="R105" s="23"/>
      <c r="S105" s="23"/>
      <c r="T105" s="23"/>
      <c r="U105" s="23"/>
    </row>
    <row r="106" spans="1:21" x14ac:dyDescent="0.25">
      <c r="A106" s="334" t="s">
        <v>352</v>
      </c>
      <c r="B106" s="23"/>
      <c r="C106" s="23"/>
      <c r="D106" s="23"/>
      <c r="E106" s="23"/>
      <c r="F106" s="23"/>
      <c r="G106" s="23"/>
      <c r="H106" s="23"/>
      <c r="I106" s="23"/>
      <c r="J106" s="23"/>
      <c r="K106" s="23"/>
      <c r="L106" s="23"/>
      <c r="M106" s="23"/>
      <c r="N106" s="23"/>
      <c r="O106" s="23"/>
      <c r="P106" s="23"/>
      <c r="Q106" s="23"/>
      <c r="R106" s="23"/>
      <c r="S106" s="23"/>
      <c r="T106" s="23"/>
      <c r="U106" s="23"/>
    </row>
    <row r="107" spans="1:21" x14ac:dyDescent="0.25">
      <c r="A107" s="339" t="s">
        <v>353</v>
      </c>
      <c r="B107" s="23"/>
      <c r="C107" s="23"/>
      <c r="D107" s="23"/>
      <c r="E107" s="23"/>
      <c r="F107" s="23"/>
      <c r="G107" s="23"/>
      <c r="H107" s="23"/>
      <c r="I107" s="23"/>
      <c r="J107" s="23"/>
      <c r="K107" s="23"/>
      <c r="L107" s="23"/>
      <c r="M107" s="23"/>
      <c r="N107" s="23"/>
      <c r="O107" s="23"/>
      <c r="P107" s="23"/>
      <c r="Q107" s="23"/>
      <c r="R107" s="23"/>
      <c r="S107" s="23"/>
      <c r="T107" s="23"/>
      <c r="U107" s="23"/>
    </row>
    <row r="108" spans="1:21" x14ac:dyDescent="0.25">
      <c r="A108" s="334" t="s">
        <v>354</v>
      </c>
      <c r="B108" s="23"/>
      <c r="C108" s="23"/>
      <c r="D108" s="23"/>
      <c r="E108" s="23"/>
      <c r="F108" s="23"/>
      <c r="G108" s="23"/>
      <c r="H108" s="23"/>
      <c r="I108" s="23"/>
      <c r="J108" s="23"/>
      <c r="K108" s="23"/>
      <c r="L108" s="23"/>
      <c r="M108" s="23"/>
      <c r="N108" s="23"/>
      <c r="O108" s="23"/>
      <c r="P108" s="23"/>
      <c r="Q108" s="23"/>
      <c r="R108" s="23"/>
      <c r="S108" s="23"/>
      <c r="T108" s="23"/>
      <c r="U108" s="23"/>
    </row>
    <row r="109" spans="1:21" x14ac:dyDescent="0.25">
      <c r="A109" s="334" t="s">
        <v>380</v>
      </c>
      <c r="B109" s="23"/>
      <c r="C109" s="23"/>
      <c r="D109" s="23"/>
      <c r="E109" s="23"/>
      <c r="F109" s="23"/>
      <c r="G109" s="23"/>
      <c r="H109" s="23"/>
      <c r="I109" s="23"/>
      <c r="J109" s="23"/>
      <c r="K109" s="23"/>
      <c r="L109" s="23"/>
      <c r="M109" s="23"/>
      <c r="N109" s="23"/>
      <c r="O109" s="23"/>
      <c r="P109" s="23"/>
      <c r="Q109" s="23"/>
      <c r="R109" s="23"/>
      <c r="S109" s="23"/>
      <c r="T109" s="23"/>
      <c r="U109" s="23"/>
    </row>
    <row r="110" spans="1:21" x14ac:dyDescent="0.25">
      <c r="A110" s="334" t="s">
        <v>268</v>
      </c>
      <c r="B110" s="23"/>
      <c r="C110" s="23"/>
      <c r="D110" s="23"/>
      <c r="E110" s="23"/>
      <c r="F110" s="23"/>
      <c r="G110" s="23"/>
      <c r="H110" s="23"/>
      <c r="I110" s="23"/>
      <c r="J110" s="23"/>
      <c r="K110" s="23"/>
      <c r="L110" s="23"/>
      <c r="M110" s="23"/>
      <c r="N110" s="23"/>
      <c r="O110" s="23"/>
      <c r="P110" s="23"/>
      <c r="Q110" s="23"/>
      <c r="R110" s="23"/>
      <c r="S110" s="23"/>
      <c r="T110" s="23"/>
      <c r="U110" s="23"/>
    </row>
    <row r="111" spans="1:21" x14ac:dyDescent="0.25">
      <c r="A111" s="339" t="s">
        <v>355</v>
      </c>
      <c r="B111" s="23"/>
      <c r="C111" s="23"/>
      <c r="D111" s="23"/>
      <c r="E111" s="23"/>
      <c r="F111" s="23"/>
      <c r="G111" s="23"/>
      <c r="H111" s="23"/>
      <c r="I111" s="23"/>
      <c r="J111" s="23"/>
      <c r="K111" s="23"/>
      <c r="L111" s="23"/>
      <c r="M111" s="23"/>
      <c r="N111" s="23"/>
      <c r="O111" s="23"/>
      <c r="P111" s="23"/>
      <c r="Q111" s="23"/>
      <c r="R111" s="23"/>
      <c r="S111" s="23"/>
      <c r="T111" s="23"/>
      <c r="U111" s="23"/>
    </row>
    <row r="112" spans="1:21" x14ac:dyDescent="0.25">
      <c r="A112" s="334" t="s">
        <v>356</v>
      </c>
      <c r="B112" s="23"/>
      <c r="C112" s="23"/>
      <c r="D112" s="23"/>
      <c r="E112" s="23"/>
      <c r="F112" s="23"/>
      <c r="G112" s="23"/>
      <c r="H112" s="23"/>
      <c r="I112" s="23"/>
      <c r="J112" s="23"/>
      <c r="K112" s="23"/>
      <c r="L112" s="23"/>
      <c r="M112" s="23"/>
      <c r="N112" s="23"/>
      <c r="O112" s="23"/>
      <c r="P112" s="23"/>
      <c r="Q112" s="23"/>
      <c r="R112" s="23"/>
      <c r="S112" s="23"/>
      <c r="T112" s="23"/>
      <c r="U112" s="23"/>
    </row>
    <row r="113" spans="1:21" x14ac:dyDescent="0.25">
      <c r="A113" s="339" t="s">
        <v>357</v>
      </c>
      <c r="B113" s="23"/>
      <c r="C113" s="23"/>
      <c r="D113" s="23"/>
      <c r="E113" s="23"/>
      <c r="F113" s="23"/>
      <c r="G113" s="23"/>
      <c r="H113" s="23"/>
      <c r="I113" s="23"/>
      <c r="J113" s="23"/>
      <c r="K113" s="23"/>
      <c r="L113" s="23"/>
      <c r="M113" s="23"/>
      <c r="N113" s="23"/>
      <c r="O113" s="23"/>
      <c r="P113" s="23"/>
      <c r="Q113" s="23"/>
      <c r="R113" s="23"/>
      <c r="S113" s="23"/>
      <c r="T113" s="23"/>
      <c r="U113" s="23"/>
    </row>
    <row r="114" spans="1:21" x14ac:dyDescent="0.25">
      <c r="A114" s="334" t="s">
        <v>358</v>
      </c>
      <c r="B114" s="23"/>
      <c r="C114" s="23"/>
      <c r="D114" s="23"/>
      <c r="E114" s="23"/>
      <c r="F114" s="23"/>
      <c r="G114" s="23"/>
      <c r="H114" s="23"/>
      <c r="I114" s="23"/>
      <c r="J114" s="23"/>
      <c r="K114" s="23"/>
      <c r="L114" s="23"/>
      <c r="M114" s="23"/>
      <c r="N114" s="23"/>
      <c r="O114" s="23"/>
      <c r="P114" s="23"/>
      <c r="Q114" s="23"/>
      <c r="R114" s="23"/>
      <c r="S114" s="23"/>
      <c r="T114" s="23"/>
      <c r="U114" s="23"/>
    </row>
    <row r="115" spans="1:21" x14ac:dyDescent="0.25">
      <c r="A115" s="334" t="s">
        <v>359</v>
      </c>
      <c r="B115" s="23"/>
      <c r="C115" s="23"/>
      <c r="D115" s="23"/>
      <c r="E115" s="23"/>
      <c r="F115" s="23"/>
      <c r="G115" s="23"/>
      <c r="H115" s="23"/>
      <c r="I115" s="23"/>
      <c r="J115" s="23"/>
      <c r="K115" s="23"/>
      <c r="L115" s="23"/>
      <c r="M115" s="23"/>
      <c r="N115" s="23"/>
      <c r="O115" s="23"/>
      <c r="P115" s="23"/>
      <c r="Q115" s="23"/>
      <c r="R115" s="23"/>
      <c r="S115" s="23"/>
      <c r="T115" s="23"/>
      <c r="U115" s="23"/>
    </row>
    <row r="116" spans="1:21" x14ac:dyDescent="0.25">
      <c r="A116" s="334" t="s">
        <v>360</v>
      </c>
      <c r="B116" s="23"/>
      <c r="C116" s="23"/>
      <c r="D116" s="23"/>
      <c r="E116" s="23"/>
      <c r="F116" s="23"/>
      <c r="G116" s="23"/>
      <c r="H116" s="23"/>
      <c r="I116" s="23"/>
      <c r="J116" s="23"/>
      <c r="K116" s="23"/>
      <c r="L116" s="23"/>
      <c r="M116" s="23"/>
      <c r="N116" s="23"/>
      <c r="O116" s="23"/>
      <c r="P116" s="23"/>
      <c r="Q116" s="23"/>
      <c r="R116" s="23"/>
      <c r="S116" s="23"/>
      <c r="T116" s="23"/>
      <c r="U116" s="23"/>
    </row>
    <row r="117" spans="1:21" x14ac:dyDescent="0.25">
      <c r="A117" s="333" t="s">
        <v>368</v>
      </c>
      <c r="B117" s="23"/>
      <c r="C117" s="23"/>
      <c r="D117" s="23"/>
      <c r="E117" s="23"/>
      <c r="F117" s="23"/>
      <c r="G117" s="23"/>
      <c r="H117" s="23"/>
      <c r="I117" s="23"/>
      <c r="J117" s="23"/>
      <c r="K117" s="23"/>
      <c r="L117" s="23"/>
      <c r="M117" s="23"/>
      <c r="N117" s="23"/>
      <c r="O117" s="23"/>
      <c r="P117" s="23"/>
      <c r="Q117" s="23"/>
      <c r="R117" s="23"/>
      <c r="S117" s="23"/>
      <c r="T117" s="23"/>
      <c r="U117" s="23"/>
    </row>
    <row r="118" spans="1:21" x14ac:dyDescent="0.25">
      <c r="A118" s="333" t="s">
        <v>367</v>
      </c>
      <c r="B118" s="23"/>
      <c r="C118" s="23"/>
      <c r="D118" s="23"/>
      <c r="E118" s="23"/>
      <c r="F118" s="23"/>
      <c r="G118" s="23"/>
      <c r="H118" s="23"/>
      <c r="I118" s="23"/>
      <c r="J118" s="23"/>
      <c r="K118" s="23"/>
      <c r="L118" s="23"/>
      <c r="M118" s="23"/>
      <c r="N118" s="23"/>
      <c r="O118" s="23"/>
      <c r="P118" s="23"/>
      <c r="Q118" s="23"/>
      <c r="R118" s="23"/>
      <c r="S118" s="23"/>
      <c r="T118" s="23"/>
      <c r="U118" s="23"/>
    </row>
    <row r="119" spans="1:21" x14ac:dyDescent="0.25">
      <c r="A119" s="339" t="s">
        <v>362</v>
      </c>
      <c r="B119" s="23"/>
      <c r="C119" s="23"/>
      <c r="D119" s="23"/>
      <c r="E119" s="23"/>
      <c r="F119" s="23"/>
      <c r="G119" s="23"/>
      <c r="H119" s="23"/>
      <c r="I119" s="23"/>
      <c r="J119" s="23"/>
      <c r="K119" s="23"/>
      <c r="L119" s="23"/>
      <c r="M119" s="23"/>
      <c r="N119" s="23"/>
      <c r="O119" s="23"/>
      <c r="P119" s="23"/>
      <c r="Q119" s="23"/>
      <c r="R119" s="23"/>
      <c r="S119" s="23"/>
      <c r="T119" s="23"/>
      <c r="U119" s="23"/>
    </row>
    <row r="120" spans="1:21" x14ac:dyDescent="0.25">
      <c r="A120" s="334" t="s">
        <v>363</v>
      </c>
      <c r="B120" s="23"/>
      <c r="C120" s="23"/>
      <c r="D120" s="23"/>
      <c r="E120" s="23"/>
      <c r="F120" s="23"/>
      <c r="G120" s="23"/>
      <c r="H120" s="23"/>
      <c r="I120" s="23"/>
      <c r="J120" s="23"/>
      <c r="K120" s="23"/>
      <c r="L120" s="23"/>
      <c r="M120" s="23"/>
      <c r="N120" s="23"/>
      <c r="O120" s="23"/>
      <c r="P120" s="23"/>
      <c r="Q120" s="23"/>
      <c r="R120" s="23"/>
      <c r="S120" s="23"/>
      <c r="T120" s="23"/>
      <c r="U120" s="23"/>
    </row>
    <row r="121" spans="1:21" x14ac:dyDescent="0.25">
      <c r="A121" s="334"/>
      <c r="B121" s="23"/>
      <c r="C121" s="23"/>
      <c r="D121" s="23"/>
      <c r="E121" s="23"/>
      <c r="F121" s="23"/>
      <c r="G121" s="23"/>
      <c r="H121" s="23"/>
      <c r="I121" s="23"/>
      <c r="J121" s="23"/>
      <c r="K121" s="23"/>
      <c r="L121" s="23"/>
      <c r="M121" s="23"/>
      <c r="N121" s="23"/>
      <c r="O121" s="23"/>
      <c r="P121" s="23"/>
      <c r="Q121" s="23"/>
      <c r="R121" s="23"/>
      <c r="S121" s="23"/>
      <c r="T121" s="23"/>
      <c r="U121" s="23"/>
    </row>
    <row r="122" spans="1:21" x14ac:dyDescent="0.25">
      <c r="A122" s="334"/>
      <c r="B122" s="23"/>
      <c r="C122" s="23"/>
      <c r="D122" s="23"/>
      <c r="E122" s="23"/>
      <c r="F122" s="23"/>
      <c r="G122" s="23"/>
      <c r="H122" s="23"/>
      <c r="I122" s="23"/>
      <c r="J122" s="23"/>
      <c r="K122" s="23"/>
      <c r="L122" s="23"/>
      <c r="M122" s="23"/>
      <c r="N122" s="23"/>
      <c r="O122" s="23"/>
      <c r="P122" s="23"/>
      <c r="Q122" s="23"/>
      <c r="R122" s="23"/>
      <c r="S122" s="23"/>
      <c r="T122" s="23"/>
      <c r="U122" s="23"/>
    </row>
    <row r="123" spans="1:21" x14ac:dyDescent="0.25">
      <c r="A123" s="334"/>
      <c r="B123" s="23"/>
      <c r="C123" s="23"/>
      <c r="D123" s="23"/>
      <c r="E123" s="23"/>
      <c r="F123" s="23"/>
      <c r="G123" s="23"/>
      <c r="H123" s="23"/>
      <c r="I123" s="23"/>
      <c r="J123" s="23"/>
      <c r="K123" s="23"/>
      <c r="L123" s="23"/>
      <c r="M123" s="23"/>
      <c r="N123" s="23"/>
      <c r="O123" s="23"/>
      <c r="P123" s="23"/>
      <c r="Q123" s="23"/>
      <c r="R123" s="23"/>
      <c r="S123" s="23"/>
      <c r="T123" s="23"/>
      <c r="U123" s="23"/>
    </row>
    <row r="124" spans="1:21" x14ac:dyDescent="0.25">
      <c r="A124" s="334"/>
      <c r="B124" s="23"/>
      <c r="C124" s="23"/>
      <c r="D124" s="23"/>
      <c r="E124" s="23"/>
      <c r="F124" s="23"/>
      <c r="G124" s="23"/>
      <c r="H124" s="23"/>
      <c r="I124" s="23"/>
      <c r="J124" s="23"/>
      <c r="K124" s="23"/>
      <c r="L124" s="23"/>
      <c r="M124" s="23"/>
      <c r="N124" s="23"/>
      <c r="O124" s="23"/>
      <c r="P124" s="23"/>
      <c r="Q124" s="23"/>
      <c r="R124" s="23"/>
      <c r="S124" s="23"/>
      <c r="T124" s="23"/>
      <c r="U124" s="23"/>
    </row>
    <row r="125" spans="1:21" x14ac:dyDescent="0.25">
      <c r="A125" s="334"/>
      <c r="B125" s="23"/>
      <c r="C125" s="23"/>
      <c r="D125" s="23"/>
      <c r="E125" s="23"/>
      <c r="F125" s="23"/>
      <c r="G125" s="23"/>
      <c r="H125" s="23"/>
      <c r="I125" s="23"/>
      <c r="J125" s="23"/>
      <c r="K125" s="23"/>
      <c r="L125" s="23"/>
      <c r="M125" s="23"/>
      <c r="N125" s="23"/>
      <c r="O125" s="23"/>
      <c r="P125" s="23"/>
      <c r="Q125" s="23"/>
      <c r="R125" s="23"/>
      <c r="S125" s="23"/>
      <c r="T125" s="23"/>
      <c r="U125" s="23"/>
    </row>
    <row r="126" spans="1:21" x14ac:dyDescent="0.25">
      <c r="A126" s="334"/>
      <c r="B126" s="23"/>
      <c r="C126" s="23"/>
      <c r="D126" s="23"/>
      <c r="E126" s="23"/>
      <c r="F126" s="23"/>
      <c r="G126" s="23"/>
      <c r="H126" s="23"/>
      <c r="I126" s="23"/>
      <c r="J126" s="23"/>
      <c r="K126" s="23"/>
      <c r="L126" s="23"/>
      <c r="M126" s="23"/>
      <c r="N126" s="23"/>
      <c r="O126" s="23"/>
      <c r="P126" s="23"/>
      <c r="Q126" s="23"/>
      <c r="R126" s="23"/>
      <c r="S126" s="23"/>
      <c r="T126" s="23"/>
      <c r="U126" s="23"/>
    </row>
    <row r="127" spans="1:21" x14ac:dyDescent="0.25">
      <c r="A127" s="334"/>
      <c r="B127" s="23"/>
      <c r="C127" s="23"/>
      <c r="D127" s="23"/>
      <c r="E127" s="23"/>
      <c r="F127" s="23"/>
      <c r="G127" s="23"/>
      <c r="H127" s="23"/>
      <c r="I127" s="23"/>
      <c r="J127" s="23"/>
      <c r="K127" s="23"/>
      <c r="L127" s="23"/>
      <c r="M127" s="23"/>
      <c r="N127" s="23"/>
      <c r="O127" s="23"/>
      <c r="P127" s="23"/>
      <c r="Q127" s="23"/>
      <c r="R127" s="23"/>
      <c r="S127" s="23"/>
      <c r="T127" s="23"/>
      <c r="U127" s="23"/>
    </row>
    <row r="128" spans="1:21" x14ac:dyDescent="0.25">
      <c r="A128" s="334"/>
      <c r="B128" s="23"/>
      <c r="C128" s="23"/>
      <c r="D128" s="23"/>
      <c r="E128" s="23"/>
      <c r="F128" s="23"/>
      <c r="G128" s="23"/>
      <c r="H128" s="23"/>
      <c r="I128" s="23"/>
      <c r="J128" s="23"/>
      <c r="K128" s="23"/>
      <c r="L128" s="23"/>
      <c r="M128" s="23"/>
      <c r="N128" s="23"/>
      <c r="O128" s="23"/>
      <c r="P128" s="23"/>
      <c r="Q128" s="23"/>
      <c r="R128" s="23"/>
      <c r="S128" s="23"/>
      <c r="T128" s="23"/>
      <c r="U128" s="23"/>
    </row>
  </sheetData>
  <pageMargins left="0.70866141732283472" right="0.70866141732283472" top="0.55118110236220474" bottom="0.55118110236220474" header="0.11811023622047245" footer="0.31496062992125984"/>
  <pageSetup paperSize="9" scale="40" orientation="landscape" r:id="rId1"/>
  <headerFooter>
    <oddFooter>&amp;L&amp;F&amp;C&amp;A&amp;R&amp;P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sheetView>
  </sheetViews>
  <sheetFormatPr defaultColWidth="9.140625" defaultRowHeight="15" customHeight="1" x14ac:dyDescent="0.25"/>
  <cols>
    <col min="1" max="1" width="11.28515625" style="48" bestFit="1" customWidth="1"/>
    <col min="2" max="2" width="14.28515625" style="48" customWidth="1"/>
    <col min="3" max="3" width="39" style="47" customWidth="1"/>
    <col min="4" max="4" width="14.5703125" style="47" customWidth="1"/>
    <col min="5" max="5" width="15.42578125" style="47" bestFit="1" customWidth="1"/>
    <col min="6" max="7" width="18.7109375" style="47" customWidth="1"/>
    <col min="8" max="8" width="15.28515625" style="47" bestFit="1" customWidth="1"/>
    <col min="9" max="9" width="16.42578125" style="47" customWidth="1"/>
    <col min="10" max="10" width="11" style="47" bestFit="1" customWidth="1"/>
    <col min="11" max="11" width="58.42578125" style="47" customWidth="1"/>
    <col min="12" max="12" width="9.85546875" style="47" hidden="1" customWidth="1"/>
    <col min="13" max="13" width="11" style="47" hidden="1" customWidth="1"/>
    <col min="14" max="14" width="15.42578125" style="47" hidden="1" customWidth="1"/>
    <col min="15" max="15" width="18.140625" style="47" hidden="1" customWidth="1"/>
    <col min="16" max="16" width="18.42578125" style="47" hidden="1" customWidth="1"/>
    <col min="17" max="17" width="15.7109375" style="47" hidden="1" customWidth="1"/>
    <col min="18" max="18" width="16.42578125" style="47" hidden="1" customWidth="1"/>
    <col min="19" max="19" width="11" style="47" hidden="1" customWidth="1"/>
    <col min="20" max="20" width="61.5703125" style="47" hidden="1" customWidth="1"/>
    <col min="21" max="21" width="12" style="47" bestFit="1" customWidth="1"/>
    <col min="22" max="22" width="9.7109375" style="47" bestFit="1" customWidth="1"/>
    <col min="23" max="23" width="15.28515625" style="47" customWidth="1"/>
    <col min="24" max="24" width="11.140625" style="47" customWidth="1"/>
    <col min="25" max="25" width="11.85546875" style="47" hidden="1" customWidth="1"/>
    <col min="27" max="28" width="7.7109375" style="47" customWidth="1"/>
    <col min="29" max="16384" width="9.140625" style="47"/>
  </cols>
  <sheetData>
    <row r="1" spans="1:25" s="37" customFormat="1" ht="15" customHeight="1" x14ac:dyDescent="0.25">
      <c r="A1" s="17"/>
      <c r="B1" s="12" t="s">
        <v>55</v>
      </c>
      <c r="C1" s="326"/>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25">
      <c r="A2" s="160"/>
      <c r="B2" s="161" t="s">
        <v>20</v>
      </c>
      <c r="C2" s="325" t="str">
        <f>IF(OR('1. Aanvraaggegevens'!C8="",'1. Aanvraaggegevens'!C8=0),"Kies een berekeningsmethode op tabblad '1. Aanvraaggegevens'",'1. Aanvraaggegevens'!C8)</f>
        <v>Kies een berekeningsmethode op tabblad '1. Aanvraaggegevens'</v>
      </c>
      <c r="D2" s="161"/>
      <c r="E2" s="161"/>
      <c r="F2" s="161"/>
      <c r="G2" s="162"/>
      <c r="H2" s="163" t="str">
        <f>IF(C2="Vereenvoudigde kostenoptie voor arbeidskosten","--&gt;U heeft gekozen voor een forfait voor arbeidskosten. U hoeft daarom geen loonkosten op te geven.","")</f>
        <v/>
      </c>
      <c r="I2" s="163"/>
      <c r="J2" s="163"/>
      <c r="K2" s="163"/>
      <c r="L2" s="160"/>
      <c r="M2" s="162"/>
      <c r="N2" s="162"/>
      <c r="O2" s="162"/>
      <c r="P2" s="162"/>
      <c r="Q2" s="163" t="str">
        <f>IF(G2="Vereenvoudigde kostenoptie voor arbeidskosten","--&gt;U heeft gekozen voor een forfait voor arbeidskosten. U hoeft daarom geen loonkosten op te geven.","")</f>
        <v/>
      </c>
      <c r="R2" s="163"/>
      <c r="S2" s="163"/>
      <c r="T2" s="163"/>
      <c r="U2" s="161"/>
      <c r="V2" s="161"/>
      <c r="W2" s="161"/>
      <c r="X2" s="161"/>
      <c r="Y2" s="161"/>
    </row>
    <row r="3" spans="1:25" s="37" customFormat="1" ht="15" customHeight="1" x14ac:dyDescent="0.25">
      <c r="A3" s="92"/>
      <c r="B3" s="189"/>
      <c r="C3" s="189"/>
      <c r="D3" s="375" t="s">
        <v>256</v>
      </c>
      <c r="E3" s="376"/>
      <c r="F3" s="376"/>
      <c r="G3" s="376"/>
      <c r="H3" s="376"/>
      <c r="I3" s="376"/>
      <c r="J3" s="376"/>
      <c r="K3" s="377"/>
      <c r="L3" s="350" t="s">
        <v>161</v>
      </c>
      <c r="M3" s="351"/>
      <c r="N3" s="351"/>
      <c r="O3" s="351"/>
      <c r="P3" s="351"/>
      <c r="Q3" s="351"/>
      <c r="R3" s="351"/>
      <c r="S3" s="351"/>
      <c r="T3" s="351"/>
      <c r="U3" s="273"/>
      <c r="V3" s="189"/>
      <c r="W3" s="189"/>
      <c r="X3" s="189"/>
      <c r="Y3" s="322"/>
    </row>
    <row r="4" spans="1:25" s="39" customFormat="1" ht="60" x14ac:dyDescent="0.25">
      <c r="A4" s="93" t="s">
        <v>29</v>
      </c>
      <c r="B4" s="93" t="s">
        <v>36</v>
      </c>
      <c r="C4" s="168" t="s">
        <v>271</v>
      </c>
      <c r="D4" s="183" t="s">
        <v>34</v>
      </c>
      <c r="E4" s="184" t="s">
        <v>87</v>
      </c>
      <c r="F4" s="184" t="s">
        <v>33</v>
      </c>
      <c r="G4" s="185" t="s">
        <v>26</v>
      </c>
      <c r="H4" s="185" t="s">
        <v>13</v>
      </c>
      <c r="I4" s="185" t="s">
        <v>14</v>
      </c>
      <c r="J4" s="235" t="s">
        <v>37</v>
      </c>
      <c r="K4" s="320" t="s">
        <v>257</v>
      </c>
      <c r="L4" s="183" t="s">
        <v>162</v>
      </c>
      <c r="M4" s="184" t="s">
        <v>34</v>
      </c>
      <c r="N4" s="184" t="s">
        <v>87</v>
      </c>
      <c r="O4" s="184" t="s">
        <v>33</v>
      </c>
      <c r="P4" s="185" t="s">
        <v>26</v>
      </c>
      <c r="Q4" s="185" t="s">
        <v>13</v>
      </c>
      <c r="R4" s="185" t="s">
        <v>14</v>
      </c>
      <c r="S4" s="235" t="s">
        <v>37</v>
      </c>
      <c r="T4" s="270" t="s">
        <v>258</v>
      </c>
      <c r="U4" s="272" t="s">
        <v>310</v>
      </c>
      <c r="V4" s="170" t="s">
        <v>149</v>
      </c>
      <c r="W4" s="93" t="s">
        <v>151</v>
      </c>
      <c r="X4" s="93" t="s">
        <v>163</v>
      </c>
      <c r="Y4" s="93" t="s">
        <v>164</v>
      </c>
    </row>
    <row r="5" spans="1:25" ht="15" customHeight="1" x14ac:dyDescent="0.25">
      <c r="A5" s="236" t="str">
        <f>IF(OR($B5="Ja",$B5="Nee"),MAX($A$4:A4)+1,"")</f>
        <v/>
      </c>
      <c r="B5" s="315" t="s">
        <v>35</v>
      </c>
      <c r="C5" s="316"/>
      <c r="D5" s="317"/>
      <c r="E5" s="318"/>
      <c r="F5" s="319"/>
      <c r="G5" s="319"/>
      <c r="H5" s="239">
        <f>SUM(F5*12,G5)</f>
        <v>0</v>
      </c>
      <c r="I5" s="240">
        <f>1720*E5/40</f>
        <v>0</v>
      </c>
      <c r="J5" s="241">
        <f t="shared" ref="J5:J36" si="0">IF($B5="nee",IFERROR(ROUND(H5*(1+$W5)/I5,2),0),0)</f>
        <v>0</v>
      </c>
      <c r="K5" s="269"/>
      <c r="L5" s="242"/>
      <c r="M5" s="238"/>
      <c r="N5" s="237"/>
      <c r="O5" s="238"/>
      <c r="P5" s="238"/>
      <c r="Q5" s="239">
        <f>SUM(O5*12,P5)</f>
        <v>0</v>
      </c>
      <c r="R5" s="240">
        <f t="shared" ref="R5:R36" si="1">1720*N5/40</f>
        <v>0</v>
      </c>
      <c r="S5" s="241">
        <f t="shared" ref="S5:S36" si="2">IF($B5="nee",IFERROR(ROUND(Q5*(1+$W5)/R5,2),0),0)</f>
        <v>0</v>
      </c>
      <c r="T5" s="269"/>
      <c r="U5" s="239" t="s">
        <v>150</v>
      </c>
      <c r="V5" s="243" t="str">
        <f t="shared" ref="V5:V54" si="3">IF(Methode_Keuze&lt;&gt;"",IF($C$2="Vereenvoudigde kostenoptie voor overige kosten","nee","ja"),"nee")</f>
        <v>nee</v>
      </c>
      <c r="W5" s="244">
        <f>IF(V5="ja",0.442*(1.15)+0.15,0.442)</f>
        <v>0.442</v>
      </c>
      <c r="X5" s="245">
        <f>IF(B5="Ja",D5,J5)</f>
        <v>0</v>
      </c>
      <c r="Y5" s="245" t="str">
        <f>IF(B5="Ja",IF(L5="JA",D5,M5),IF(B5="Nee",IF(L5="JA",J5,S5),""))</f>
        <v/>
      </c>
    </row>
    <row r="6" spans="1:25" ht="15" customHeight="1" x14ac:dyDescent="0.25">
      <c r="A6" s="236" t="str">
        <f>IF(B6&lt;&gt;"&lt;Selecteer&gt;",MAX($A$4:A5)+1,"")</f>
        <v/>
      </c>
      <c r="B6" s="315" t="s">
        <v>35</v>
      </c>
      <c r="C6" s="316"/>
      <c r="D6" s="317"/>
      <c r="E6" s="318"/>
      <c r="F6" s="319"/>
      <c r="G6" s="319"/>
      <c r="H6" s="239">
        <f t="shared" ref="H6:H54" si="4">SUM(F6*12,G6)</f>
        <v>0</v>
      </c>
      <c r="I6" s="240">
        <f t="shared" ref="I6:I54" si="5">1720*E6/40</f>
        <v>0</v>
      </c>
      <c r="J6" s="241">
        <f t="shared" si="0"/>
        <v>0</v>
      </c>
      <c r="K6" s="269"/>
      <c r="L6" s="242"/>
      <c r="M6" s="238"/>
      <c r="N6" s="237"/>
      <c r="O6" s="238"/>
      <c r="P6" s="238"/>
      <c r="Q6" s="239">
        <f t="shared" ref="Q6:Q54" si="6">SUM(O6*12,P6)</f>
        <v>0</v>
      </c>
      <c r="R6" s="240">
        <f t="shared" si="1"/>
        <v>0</v>
      </c>
      <c r="S6" s="241">
        <f t="shared" si="2"/>
        <v>0</v>
      </c>
      <c r="T6" s="269"/>
      <c r="U6" s="239" t="s">
        <v>150</v>
      </c>
      <c r="V6" s="243" t="str">
        <f t="shared" si="3"/>
        <v>nee</v>
      </c>
      <c r="W6" s="244">
        <f t="shared" ref="W6:W54" si="7">IF(V6="ja",0.442*(1.15)+0.15,0.442)</f>
        <v>0.442</v>
      </c>
      <c r="X6" s="245">
        <f t="shared" ref="X6:X54" si="8">IF(B6="Ja",D6,J6)</f>
        <v>0</v>
      </c>
      <c r="Y6" s="245" t="str">
        <f t="shared" ref="Y6:Y54" si="9">IF(B6="Ja",IF(L6="JA",D6,M6),IF(B6="Nee",IF(L6="JA",J6,S6),""))</f>
        <v/>
      </c>
    </row>
    <row r="7" spans="1:25" ht="15" customHeight="1" x14ac:dyDescent="0.25">
      <c r="A7" s="236" t="str">
        <f>IF(B7&lt;&gt;"&lt;Selecteer&gt;",MAX($A$4:A6)+1,"")</f>
        <v/>
      </c>
      <c r="B7" s="315" t="s">
        <v>35</v>
      </c>
      <c r="C7" s="316"/>
      <c r="D7" s="317"/>
      <c r="E7" s="318"/>
      <c r="F7" s="319"/>
      <c r="G7" s="319"/>
      <c r="H7" s="239">
        <f t="shared" si="4"/>
        <v>0</v>
      </c>
      <c r="I7" s="240">
        <f t="shared" si="5"/>
        <v>0</v>
      </c>
      <c r="J7" s="241">
        <f t="shared" si="0"/>
        <v>0</v>
      </c>
      <c r="K7" s="269"/>
      <c r="L7" s="242"/>
      <c r="M7" s="238"/>
      <c r="N7" s="237"/>
      <c r="O7" s="238"/>
      <c r="P7" s="238"/>
      <c r="Q7" s="239">
        <f t="shared" si="6"/>
        <v>0</v>
      </c>
      <c r="R7" s="240">
        <f t="shared" si="1"/>
        <v>0</v>
      </c>
      <c r="S7" s="241">
        <f t="shared" si="2"/>
        <v>0</v>
      </c>
      <c r="T7" s="269"/>
      <c r="U7" s="239" t="s">
        <v>150</v>
      </c>
      <c r="V7" s="243" t="str">
        <f t="shared" si="3"/>
        <v>nee</v>
      </c>
      <c r="W7" s="244">
        <f t="shared" si="7"/>
        <v>0.442</v>
      </c>
      <c r="X7" s="245">
        <f t="shared" si="8"/>
        <v>0</v>
      </c>
      <c r="Y7" s="245" t="str">
        <f t="shared" si="9"/>
        <v/>
      </c>
    </row>
    <row r="8" spans="1:25" ht="15" customHeight="1" x14ac:dyDescent="0.25">
      <c r="A8" s="236" t="str">
        <f>IF(B8&lt;&gt;"&lt;Selecteer&gt;",MAX($A$4:A7)+1,"")</f>
        <v/>
      </c>
      <c r="B8" s="315" t="s">
        <v>35</v>
      </c>
      <c r="C8" s="316"/>
      <c r="D8" s="317"/>
      <c r="E8" s="318"/>
      <c r="F8" s="319"/>
      <c r="G8" s="319"/>
      <c r="H8" s="239">
        <f t="shared" si="4"/>
        <v>0</v>
      </c>
      <c r="I8" s="240">
        <f t="shared" si="5"/>
        <v>0</v>
      </c>
      <c r="J8" s="241">
        <f t="shared" si="0"/>
        <v>0</v>
      </c>
      <c r="K8" s="269"/>
      <c r="L8" s="242"/>
      <c r="M8" s="238"/>
      <c r="N8" s="237"/>
      <c r="O8" s="238"/>
      <c r="P8" s="238"/>
      <c r="Q8" s="239">
        <f t="shared" si="6"/>
        <v>0</v>
      </c>
      <c r="R8" s="240">
        <f t="shared" si="1"/>
        <v>0</v>
      </c>
      <c r="S8" s="241">
        <f t="shared" si="2"/>
        <v>0</v>
      </c>
      <c r="T8" s="269"/>
      <c r="U8" s="239" t="s">
        <v>150</v>
      </c>
      <c r="V8" s="243" t="str">
        <f t="shared" si="3"/>
        <v>nee</v>
      </c>
      <c r="W8" s="244">
        <f t="shared" si="7"/>
        <v>0.442</v>
      </c>
      <c r="X8" s="245">
        <f t="shared" si="8"/>
        <v>0</v>
      </c>
      <c r="Y8" s="245" t="str">
        <f t="shared" si="9"/>
        <v/>
      </c>
    </row>
    <row r="9" spans="1:25" ht="15" customHeight="1" x14ac:dyDescent="0.25">
      <c r="A9" s="236" t="str">
        <f>IF(B9&lt;&gt;"&lt;Selecteer&gt;",MAX($A$4:A8)+1,"")</f>
        <v/>
      </c>
      <c r="B9" s="315" t="s">
        <v>35</v>
      </c>
      <c r="C9" s="316"/>
      <c r="D9" s="317"/>
      <c r="E9" s="318"/>
      <c r="F9" s="319"/>
      <c r="G9" s="319"/>
      <c r="H9" s="239">
        <f t="shared" si="4"/>
        <v>0</v>
      </c>
      <c r="I9" s="240">
        <f t="shared" si="5"/>
        <v>0</v>
      </c>
      <c r="J9" s="241">
        <f t="shared" si="0"/>
        <v>0</v>
      </c>
      <c r="K9" s="269"/>
      <c r="L9" s="242"/>
      <c r="M9" s="238"/>
      <c r="N9" s="237"/>
      <c r="O9" s="238"/>
      <c r="P9" s="238"/>
      <c r="Q9" s="239">
        <f t="shared" si="6"/>
        <v>0</v>
      </c>
      <c r="R9" s="240">
        <f t="shared" si="1"/>
        <v>0</v>
      </c>
      <c r="S9" s="241">
        <f t="shared" si="2"/>
        <v>0</v>
      </c>
      <c r="T9" s="269"/>
      <c r="U9" s="239" t="s">
        <v>150</v>
      </c>
      <c r="V9" s="243" t="str">
        <f t="shared" si="3"/>
        <v>nee</v>
      </c>
      <c r="W9" s="244">
        <f t="shared" si="7"/>
        <v>0.442</v>
      </c>
      <c r="X9" s="245">
        <f t="shared" si="8"/>
        <v>0</v>
      </c>
      <c r="Y9" s="245" t="str">
        <f t="shared" si="9"/>
        <v/>
      </c>
    </row>
    <row r="10" spans="1:25" ht="15" customHeight="1" x14ac:dyDescent="0.25">
      <c r="A10" s="236" t="str">
        <f>IF(B10&lt;&gt;"&lt;Selecteer&gt;",MAX($A$4:A9)+1,"")</f>
        <v/>
      </c>
      <c r="B10" s="315" t="s">
        <v>35</v>
      </c>
      <c r="C10" s="316"/>
      <c r="D10" s="317"/>
      <c r="E10" s="318"/>
      <c r="F10" s="319"/>
      <c r="G10" s="319"/>
      <c r="H10" s="239">
        <f t="shared" si="4"/>
        <v>0</v>
      </c>
      <c r="I10" s="240">
        <f t="shared" si="5"/>
        <v>0</v>
      </c>
      <c r="J10" s="241">
        <f t="shared" si="0"/>
        <v>0</v>
      </c>
      <c r="K10" s="269"/>
      <c r="L10" s="242"/>
      <c r="M10" s="238"/>
      <c r="N10" s="237"/>
      <c r="O10" s="238"/>
      <c r="P10" s="238"/>
      <c r="Q10" s="239">
        <f t="shared" si="6"/>
        <v>0</v>
      </c>
      <c r="R10" s="240">
        <f t="shared" si="1"/>
        <v>0</v>
      </c>
      <c r="S10" s="241">
        <f t="shared" si="2"/>
        <v>0</v>
      </c>
      <c r="T10" s="269"/>
      <c r="U10" s="239" t="s">
        <v>150</v>
      </c>
      <c r="V10" s="243" t="str">
        <f t="shared" si="3"/>
        <v>nee</v>
      </c>
      <c r="W10" s="244">
        <f t="shared" si="7"/>
        <v>0.442</v>
      </c>
      <c r="X10" s="245">
        <f t="shared" si="8"/>
        <v>0</v>
      </c>
      <c r="Y10" s="245" t="str">
        <f t="shared" si="9"/>
        <v/>
      </c>
    </row>
    <row r="11" spans="1:25" ht="15" customHeight="1" x14ac:dyDescent="0.25">
      <c r="A11" s="236" t="str">
        <f>IF(B11&lt;&gt;"&lt;Selecteer&gt;",MAX($A$4:A10)+1,"")</f>
        <v/>
      </c>
      <c r="B11" s="315" t="s">
        <v>35</v>
      </c>
      <c r="C11" s="316"/>
      <c r="D11" s="317"/>
      <c r="E11" s="318"/>
      <c r="F11" s="319"/>
      <c r="G11" s="319"/>
      <c r="H11" s="239">
        <f t="shared" si="4"/>
        <v>0</v>
      </c>
      <c r="I11" s="240">
        <f t="shared" si="5"/>
        <v>0</v>
      </c>
      <c r="J11" s="241">
        <f t="shared" si="0"/>
        <v>0</v>
      </c>
      <c r="K11" s="269"/>
      <c r="L11" s="242"/>
      <c r="M11" s="238"/>
      <c r="N11" s="237"/>
      <c r="O11" s="238"/>
      <c r="P11" s="238"/>
      <c r="Q11" s="239">
        <f t="shared" si="6"/>
        <v>0</v>
      </c>
      <c r="R11" s="240">
        <f t="shared" si="1"/>
        <v>0</v>
      </c>
      <c r="S11" s="241">
        <f t="shared" si="2"/>
        <v>0</v>
      </c>
      <c r="T11" s="269"/>
      <c r="U11" s="239" t="s">
        <v>150</v>
      </c>
      <c r="V11" s="243" t="str">
        <f t="shared" si="3"/>
        <v>nee</v>
      </c>
      <c r="W11" s="244">
        <f t="shared" si="7"/>
        <v>0.442</v>
      </c>
      <c r="X11" s="245">
        <f t="shared" si="8"/>
        <v>0</v>
      </c>
      <c r="Y11" s="245" t="str">
        <f t="shared" si="9"/>
        <v/>
      </c>
    </row>
    <row r="12" spans="1:25" ht="15" customHeight="1" x14ac:dyDescent="0.25">
      <c r="A12" s="236" t="str">
        <f>IF(B12&lt;&gt;"&lt;Selecteer&gt;",MAX($A$4:A11)+1,"")</f>
        <v/>
      </c>
      <c r="B12" s="315" t="s">
        <v>35</v>
      </c>
      <c r="C12" s="316"/>
      <c r="D12" s="317"/>
      <c r="E12" s="318"/>
      <c r="F12" s="319"/>
      <c r="G12" s="319"/>
      <c r="H12" s="239">
        <f t="shared" si="4"/>
        <v>0</v>
      </c>
      <c r="I12" s="240">
        <f t="shared" si="5"/>
        <v>0</v>
      </c>
      <c r="J12" s="241">
        <f t="shared" si="0"/>
        <v>0</v>
      </c>
      <c r="K12" s="269"/>
      <c r="L12" s="242"/>
      <c r="M12" s="238"/>
      <c r="N12" s="237"/>
      <c r="O12" s="238"/>
      <c r="P12" s="238"/>
      <c r="Q12" s="239">
        <f t="shared" si="6"/>
        <v>0</v>
      </c>
      <c r="R12" s="240">
        <f t="shared" si="1"/>
        <v>0</v>
      </c>
      <c r="S12" s="241">
        <f t="shared" si="2"/>
        <v>0</v>
      </c>
      <c r="T12" s="269"/>
      <c r="U12" s="239" t="s">
        <v>150</v>
      </c>
      <c r="V12" s="243" t="str">
        <f t="shared" si="3"/>
        <v>nee</v>
      </c>
      <c r="W12" s="244">
        <f t="shared" si="7"/>
        <v>0.442</v>
      </c>
      <c r="X12" s="245">
        <f t="shared" si="8"/>
        <v>0</v>
      </c>
      <c r="Y12" s="245" t="str">
        <f t="shared" si="9"/>
        <v/>
      </c>
    </row>
    <row r="13" spans="1:25" ht="15" customHeight="1" x14ac:dyDescent="0.25">
      <c r="A13" s="236" t="str">
        <f>IF(B13&lt;&gt;"&lt;Selecteer&gt;",MAX($A$4:A12)+1,"")</f>
        <v/>
      </c>
      <c r="B13" s="315" t="s">
        <v>35</v>
      </c>
      <c r="C13" s="316"/>
      <c r="D13" s="317"/>
      <c r="E13" s="318"/>
      <c r="F13" s="319"/>
      <c r="G13" s="319"/>
      <c r="H13" s="239">
        <f t="shared" si="4"/>
        <v>0</v>
      </c>
      <c r="I13" s="240">
        <f t="shared" si="5"/>
        <v>0</v>
      </c>
      <c r="J13" s="241">
        <f t="shared" si="0"/>
        <v>0</v>
      </c>
      <c r="K13" s="269"/>
      <c r="L13" s="242"/>
      <c r="M13" s="238"/>
      <c r="N13" s="237"/>
      <c r="O13" s="238"/>
      <c r="P13" s="238"/>
      <c r="Q13" s="239">
        <f t="shared" si="6"/>
        <v>0</v>
      </c>
      <c r="R13" s="240">
        <f t="shared" si="1"/>
        <v>0</v>
      </c>
      <c r="S13" s="241">
        <f t="shared" si="2"/>
        <v>0</v>
      </c>
      <c r="T13" s="269"/>
      <c r="U13" s="239" t="s">
        <v>150</v>
      </c>
      <c r="V13" s="243" t="str">
        <f t="shared" si="3"/>
        <v>nee</v>
      </c>
      <c r="W13" s="244">
        <f t="shared" si="7"/>
        <v>0.442</v>
      </c>
      <c r="X13" s="245">
        <f t="shared" si="8"/>
        <v>0</v>
      </c>
      <c r="Y13" s="245" t="str">
        <f t="shared" si="9"/>
        <v/>
      </c>
    </row>
    <row r="14" spans="1:25" ht="15" customHeight="1" x14ac:dyDescent="0.25">
      <c r="A14" s="236" t="str">
        <f>IF(B14&lt;&gt;"&lt;Selecteer&gt;",MAX($A$4:A13)+1,"")</f>
        <v/>
      </c>
      <c r="B14" s="315" t="s">
        <v>35</v>
      </c>
      <c r="C14" s="316"/>
      <c r="D14" s="317"/>
      <c r="E14" s="318"/>
      <c r="F14" s="319"/>
      <c r="G14" s="319"/>
      <c r="H14" s="239">
        <f t="shared" si="4"/>
        <v>0</v>
      </c>
      <c r="I14" s="240">
        <f t="shared" si="5"/>
        <v>0</v>
      </c>
      <c r="J14" s="241">
        <f t="shared" si="0"/>
        <v>0</v>
      </c>
      <c r="K14" s="269"/>
      <c r="L14" s="242"/>
      <c r="M14" s="238"/>
      <c r="N14" s="237"/>
      <c r="O14" s="238"/>
      <c r="P14" s="238"/>
      <c r="Q14" s="239">
        <f t="shared" si="6"/>
        <v>0</v>
      </c>
      <c r="R14" s="240">
        <f t="shared" si="1"/>
        <v>0</v>
      </c>
      <c r="S14" s="241">
        <f t="shared" si="2"/>
        <v>0</v>
      </c>
      <c r="T14" s="269"/>
      <c r="U14" s="239" t="s">
        <v>150</v>
      </c>
      <c r="V14" s="243" t="str">
        <f t="shared" si="3"/>
        <v>nee</v>
      </c>
      <c r="W14" s="244">
        <f t="shared" si="7"/>
        <v>0.442</v>
      </c>
      <c r="X14" s="245">
        <f t="shared" si="8"/>
        <v>0</v>
      </c>
      <c r="Y14" s="245" t="str">
        <f t="shared" si="9"/>
        <v/>
      </c>
    </row>
    <row r="15" spans="1:25" ht="15" customHeight="1" x14ac:dyDescent="0.25">
      <c r="A15" s="236" t="str">
        <f>IF(B15&lt;&gt;"&lt;Selecteer&gt;",MAX($A$4:A14)+1,"")</f>
        <v/>
      </c>
      <c r="B15" s="315" t="s">
        <v>35</v>
      </c>
      <c r="C15" s="316"/>
      <c r="D15" s="317"/>
      <c r="E15" s="318"/>
      <c r="F15" s="319"/>
      <c r="G15" s="319"/>
      <c r="H15" s="239">
        <f t="shared" si="4"/>
        <v>0</v>
      </c>
      <c r="I15" s="240">
        <f t="shared" si="5"/>
        <v>0</v>
      </c>
      <c r="J15" s="241">
        <f t="shared" si="0"/>
        <v>0</v>
      </c>
      <c r="K15" s="269"/>
      <c r="L15" s="242"/>
      <c r="M15" s="238"/>
      <c r="N15" s="237"/>
      <c r="O15" s="238"/>
      <c r="P15" s="238"/>
      <c r="Q15" s="239">
        <f t="shared" si="6"/>
        <v>0</v>
      </c>
      <c r="R15" s="240">
        <f t="shared" si="1"/>
        <v>0</v>
      </c>
      <c r="S15" s="241">
        <f t="shared" si="2"/>
        <v>0</v>
      </c>
      <c r="T15" s="269"/>
      <c r="U15" s="239" t="s">
        <v>150</v>
      </c>
      <c r="V15" s="243" t="str">
        <f t="shared" si="3"/>
        <v>nee</v>
      </c>
      <c r="W15" s="244">
        <f t="shared" si="7"/>
        <v>0.442</v>
      </c>
      <c r="X15" s="245">
        <f t="shared" si="8"/>
        <v>0</v>
      </c>
      <c r="Y15" s="245" t="str">
        <f t="shared" si="9"/>
        <v/>
      </c>
    </row>
    <row r="16" spans="1:25" ht="15" customHeight="1" x14ac:dyDescent="0.25">
      <c r="A16" s="236" t="str">
        <f>IF(B16&lt;&gt;"&lt;Selecteer&gt;",MAX($A$4:A15)+1,"")</f>
        <v/>
      </c>
      <c r="B16" s="315" t="s">
        <v>35</v>
      </c>
      <c r="C16" s="316"/>
      <c r="D16" s="317"/>
      <c r="E16" s="318"/>
      <c r="F16" s="319"/>
      <c r="G16" s="319"/>
      <c r="H16" s="239">
        <f t="shared" si="4"/>
        <v>0</v>
      </c>
      <c r="I16" s="240">
        <f t="shared" si="5"/>
        <v>0</v>
      </c>
      <c r="J16" s="241">
        <f t="shared" si="0"/>
        <v>0</v>
      </c>
      <c r="K16" s="269"/>
      <c r="L16" s="242"/>
      <c r="M16" s="238"/>
      <c r="N16" s="237"/>
      <c r="O16" s="238"/>
      <c r="P16" s="238"/>
      <c r="Q16" s="239">
        <f t="shared" si="6"/>
        <v>0</v>
      </c>
      <c r="R16" s="240">
        <f t="shared" si="1"/>
        <v>0</v>
      </c>
      <c r="S16" s="241">
        <f t="shared" si="2"/>
        <v>0</v>
      </c>
      <c r="T16" s="269"/>
      <c r="U16" s="239" t="s">
        <v>150</v>
      </c>
      <c r="V16" s="243" t="str">
        <f t="shared" si="3"/>
        <v>nee</v>
      </c>
      <c r="W16" s="244">
        <f t="shared" si="7"/>
        <v>0.442</v>
      </c>
      <c r="X16" s="245">
        <f t="shared" si="8"/>
        <v>0</v>
      </c>
      <c r="Y16" s="245" t="str">
        <f t="shared" si="9"/>
        <v/>
      </c>
    </row>
    <row r="17" spans="1:25" ht="15" customHeight="1" x14ac:dyDescent="0.25">
      <c r="A17" s="236" t="str">
        <f>IF(B17&lt;&gt;"&lt;Selecteer&gt;",MAX($A$4:A16)+1,"")</f>
        <v/>
      </c>
      <c r="B17" s="315" t="s">
        <v>35</v>
      </c>
      <c r="C17" s="316"/>
      <c r="D17" s="317"/>
      <c r="E17" s="318"/>
      <c r="F17" s="319"/>
      <c r="G17" s="319"/>
      <c r="H17" s="239">
        <f t="shared" si="4"/>
        <v>0</v>
      </c>
      <c r="I17" s="240">
        <f t="shared" si="5"/>
        <v>0</v>
      </c>
      <c r="J17" s="241">
        <f t="shared" si="0"/>
        <v>0</v>
      </c>
      <c r="K17" s="269"/>
      <c r="L17" s="242"/>
      <c r="M17" s="238"/>
      <c r="N17" s="237"/>
      <c r="O17" s="238"/>
      <c r="P17" s="238"/>
      <c r="Q17" s="239">
        <f t="shared" si="6"/>
        <v>0</v>
      </c>
      <c r="R17" s="240">
        <f t="shared" si="1"/>
        <v>0</v>
      </c>
      <c r="S17" s="241">
        <f t="shared" si="2"/>
        <v>0</v>
      </c>
      <c r="T17" s="269"/>
      <c r="U17" s="239" t="s">
        <v>150</v>
      </c>
      <c r="V17" s="243" t="str">
        <f t="shared" si="3"/>
        <v>nee</v>
      </c>
      <c r="W17" s="244">
        <f t="shared" si="7"/>
        <v>0.442</v>
      </c>
      <c r="X17" s="245">
        <f t="shared" si="8"/>
        <v>0</v>
      </c>
      <c r="Y17" s="245" t="str">
        <f t="shared" si="9"/>
        <v/>
      </c>
    </row>
    <row r="18" spans="1:25" ht="15" customHeight="1" x14ac:dyDescent="0.25">
      <c r="A18" s="236" t="str">
        <f>IF(B18&lt;&gt;"&lt;Selecteer&gt;",MAX($A$4:A17)+1,"")</f>
        <v/>
      </c>
      <c r="B18" s="315" t="s">
        <v>35</v>
      </c>
      <c r="C18" s="316"/>
      <c r="D18" s="317"/>
      <c r="E18" s="318"/>
      <c r="F18" s="319"/>
      <c r="G18" s="319"/>
      <c r="H18" s="239">
        <f t="shared" si="4"/>
        <v>0</v>
      </c>
      <c r="I18" s="240">
        <f t="shared" si="5"/>
        <v>0</v>
      </c>
      <c r="J18" s="241">
        <f t="shared" si="0"/>
        <v>0</v>
      </c>
      <c r="K18" s="269"/>
      <c r="L18" s="242"/>
      <c r="M18" s="238"/>
      <c r="N18" s="237"/>
      <c r="O18" s="238"/>
      <c r="P18" s="238"/>
      <c r="Q18" s="239">
        <f t="shared" si="6"/>
        <v>0</v>
      </c>
      <c r="R18" s="240">
        <f t="shared" si="1"/>
        <v>0</v>
      </c>
      <c r="S18" s="241">
        <f t="shared" si="2"/>
        <v>0</v>
      </c>
      <c r="T18" s="269"/>
      <c r="U18" s="239" t="s">
        <v>150</v>
      </c>
      <c r="V18" s="243" t="str">
        <f t="shared" si="3"/>
        <v>nee</v>
      </c>
      <c r="W18" s="244">
        <f t="shared" si="7"/>
        <v>0.442</v>
      </c>
      <c r="X18" s="245">
        <f t="shared" si="8"/>
        <v>0</v>
      </c>
      <c r="Y18" s="245" t="str">
        <f t="shared" si="9"/>
        <v/>
      </c>
    </row>
    <row r="19" spans="1:25" ht="15" customHeight="1" x14ac:dyDescent="0.25">
      <c r="A19" s="236" t="str">
        <f>IF(B19&lt;&gt;"&lt;Selecteer&gt;",MAX($A$4:A18)+1,"")</f>
        <v/>
      </c>
      <c r="B19" s="315" t="s">
        <v>35</v>
      </c>
      <c r="C19" s="316"/>
      <c r="D19" s="317"/>
      <c r="E19" s="318"/>
      <c r="F19" s="319"/>
      <c r="G19" s="319"/>
      <c r="H19" s="239">
        <f t="shared" si="4"/>
        <v>0</v>
      </c>
      <c r="I19" s="240">
        <f t="shared" si="5"/>
        <v>0</v>
      </c>
      <c r="J19" s="241">
        <f t="shared" si="0"/>
        <v>0</v>
      </c>
      <c r="K19" s="269"/>
      <c r="L19" s="242"/>
      <c r="M19" s="238"/>
      <c r="N19" s="237"/>
      <c r="O19" s="238"/>
      <c r="P19" s="238"/>
      <c r="Q19" s="239">
        <f t="shared" si="6"/>
        <v>0</v>
      </c>
      <c r="R19" s="240">
        <f t="shared" si="1"/>
        <v>0</v>
      </c>
      <c r="S19" s="241">
        <f t="shared" si="2"/>
        <v>0</v>
      </c>
      <c r="T19" s="269"/>
      <c r="U19" s="239" t="s">
        <v>150</v>
      </c>
      <c r="V19" s="243" t="str">
        <f t="shared" si="3"/>
        <v>nee</v>
      </c>
      <c r="W19" s="244">
        <f t="shared" si="7"/>
        <v>0.442</v>
      </c>
      <c r="X19" s="245">
        <f t="shared" si="8"/>
        <v>0</v>
      </c>
      <c r="Y19" s="245" t="str">
        <f t="shared" si="9"/>
        <v/>
      </c>
    </row>
    <row r="20" spans="1:25" ht="15" customHeight="1" x14ac:dyDescent="0.25">
      <c r="A20" s="236" t="str">
        <f>IF(B20&lt;&gt;"&lt;Selecteer&gt;",MAX($A$4:A19)+1,"")</f>
        <v/>
      </c>
      <c r="B20" s="315" t="s">
        <v>35</v>
      </c>
      <c r="C20" s="316"/>
      <c r="D20" s="317"/>
      <c r="E20" s="318"/>
      <c r="F20" s="319"/>
      <c r="G20" s="319"/>
      <c r="H20" s="239">
        <f t="shared" si="4"/>
        <v>0</v>
      </c>
      <c r="I20" s="240">
        <f t="shared" si="5"/>
        <v>0</v>
      </c>
      <c r="J20" s="241">
        <f t="shared" si="0"/>
        <v>0</v>
      </c>
      <c r="K20" s="269"/>
      <c r="L20" s="242"/>
      <c r="M20" s="238"/>
      <c r="N20" s="237"/>
      <c r="O20" s="238"/>
      <c r="P20" s="238"/>
      <c r="Q20" s="239">
        <f t="shared" si="6"/>
        <v>0</v>
      </c>
      <c r="R20" s="240">
        <f t="shared" si="1"/>
        <v>0</v>
      </c>
      <c r="S20" s="241">
        <f t="shared" si="2"/>
        <v>0</v>
      </c>
      <c r="T20" s="269"/>
      <c r="U20" s="239" t="s">
        <v>150</v>
      </c>
      <c r="V20" s="243" t="str">
        <f t="shared" si="3"/>
        <v>nee</v>
      </c>
      <c r="W20" s="244">
        <f t="shared" si="7"/>
        <v>0.442</v>
      </c>
      <c r="X20" s="245">
        <f t="shared" si="8"/>
        <v>0</v>
      </c>
      <c r="Y20" s="245" t="str">
        <f t="shared" si="9"/>
        <v/>
      </c>
    </row>
    <row r="21" spans="1:25" ht="15" customHeight="1" x14ac:dyDescent="0.25">
      <c r="A21" s="236" t="str">
        <f>IF(B21&lt;&gt;"&lt;Selecteer&gt;",MAX($A$4:A20)+1,"")</f>
        <v/>
      </c>
      <c r="B21" s="315" t="s">
        <v>35</v>
      </c>
      <c r="C21" s="316"/>
      <c r="D21" s="317"/>
      <c r="E21" s="318"/>
      <c r="F21" s="319"/>
      <c r="G21" s="319"/>
      <c r="H21" s="239">
        <f t="shared" si="4"/>
        <v>0</v>
      </c>
      <c r="I21" s="240">
        <f t="shared" si="5"/>
        <v>0</v>
      </c>
      <c r="J21" s="241">
        <f t="shared" si="0"/>
        <v>0</v>
      </c>
      <c r="K21" s="269"/>
      <c r="L21" s="242"/>
      <c r="M21" s="238"/>
      <c r="N21" s="237"/>
      <c r="O21" s="238"/>
      <c r="P21" s="238"/>
      <c r="Q21" s="239">
        <f t="shared" si="6"/>
        <v>0</v>
      </c>
      <c r="R21" s="240">
        <f t="shared" si="1"/>
        <v>0</v>
      </c>
      <c r="S21" s="241">
        <f t="shared" si="2"/>
        <v>0</v>
      </c>
      <c r="T21" s="269"/>
      <c r="U21" s="239" t="s">
        <v>150</v>
      </c>
      <c r="V21" s="243" t="str">
        <f t="shared" si="3"/>
        <v>nee</v>
      </c>
      <c r="W21" s="244">
        <f t="shared" si="7"/>
        <v>0.442</v>
      </c>
      <c r="X21" s="245">
        <f t="shared" si="8"/>
        <v>0</v>
      </c>
      <c r="Y21" s="245" t="str">
        <f t="shared" si="9"/>
        <v/>
      </c>
    </row>
    <row r="22" spans="1:25" ht="15" customHeight="1" x14ac:dyDescent="0.25">
      <c r="A22" s="236" t="str">
        <f>IF(B22&lt;&gt;"&lt;Selecteer&gt;",MAX($A$4:A21)+1,"")</f>
        <v/>
      </c>
      <c r="B22" s="315" t="s">
        <v>35</v>
      </c>
      <c r="C22" s="316"/>
      <c r="D22" s="317"/>
      <c r="E22" s="318"/>
      <c r="F22" s="319"/>
      <c r="G22" s="319"/>
      <c r="H22" s="239">
        <f t="shared" si="4"/>
        <v>0</v>
      </c>
      <c r="I22" s="240">
        <f t="shared" si="5"/>
        <v>0</v>
      </c>
      <c r="J22" s="241">
        <f t="shared" si="0"/>
        <v>0</v>
      </c>
      <c r="K22" s="269"/>
      <c r="L22" s="242"/>
      <c r="M22" s="238"/>
      <c r="N22" s="237"/>
      <c r="O22" s="238"/>
      <c r="P22" s="238"/>
      <c r="Q22" s="239">
        <f t="shared" si="6"/>
        <v>0</v>
      </c>
      <c r="R22" s="240">
        <f t="shared" si="1"/>
        <v>0</v>
      </c>
      <c r="S22" s="241">
        <f t="shared" si="2"/>
        <v>0</v>
      </c>
      <c r="T22" s="269"/>
      <c r="U22" s="239" t="s">
        <v>150</v>
      </c>
      <c r="V22" s="243" t="str">
        <f t="shared" si="3"/>
        <v>nee</v>
      </c>
      <c r="W22" s="244">
        <f t="shared" si="7"/>
        <v>0.442</v>
      </c>
      <c r="X22" s="245">
        <f t="shared" si="8"/>
        <v>0</v>
      </c>
      <c r="Y22" s="245" t="str">
        <f t="shared" si="9"/>
        <v/>
      </c>
    </row>
    <row r="23" spans="1:25" ht="15" customHeight="1" x14ac:dyDescent="0.25">
      <c r="A23" s="236" t="str">
        <f>IF(B23&lt;&gt;"&lt;Selecteer&gt;",MAX($A$4:A22)+1,"")</f>
        <v/>
      </c>
      <c r="B23" s="315" t="s">
        <v>35</v>
      </c>
      <c r="C23" s="316"/>
      <c r="D23" s="317"/>
      <c r="E23" s="318"/>
      <c r="F23" s="319"/>
      <c r="G23" s="319"/>
      <c r="H23" s="239">
        <f t="shared" si="4"/>
        <v>0</v>
      </c>
      <c r="I23" s="240">
        <f t="shared" si="5"/>
        <v>0</v>
      </c>
      <c r="J23" s="241">
        <f t="shared" si="0"/>
        <v>0</v>
      </c>
      <c r="K23" s="269"/>
      <c r="L23" s="242"/>
      <c r="M23" s="238"/>
      <c r="N23" s="237"/>
      <c r="O23" s="238"/>
      <c r="P23" s="238"/>
      <c r="Q23" s="239">
        <f t="shared" si="6"/>
        <v>0</v>
      </c>
      <c r="R23" s="240">
        <f t="shared" si="1"/>
        <v>0</v>
      </c>
      <c r="S23" s="241">
        <f t="shared" si="2"/>
        <v>0</v>
      </c>
      <c r="T23" s="269"/>
      <c r="U23" s="239" t="s">
        <v>150</v>
      </c>
      <c r="V23" s="243" t="str">
        <f t="shared" si="3"/>
        <v>nee</v>
      </c>
      <c r="W23" s="244">
        <f t="shared" si="7"/>
        <v>0.442</v>
      </c>
      <c r="X23" s="245">
        <f t="shared" si="8"/>
        <v>0</v>
      </c>
      <c r="Y23" s="245" t="str">
        <f t="shared" si="9"/>
        <v/>
      </c>
    </row>
    <row r="24" spans="1:25" ht="15" customHeight="1" x14ac:dyDescent="0.25">
      <c r="A24" s="236" t="str">
        <f>IF(B24&lt;&gt;"&lt;Selecteer&gt;",MAX($A$4:A23)+1,"")</f>
        <v/>
      </c>
      <c r="B24" s="315" t="s">
        <v>35</v>
      </c>
      <c r="C24" s="316"/>
      <c r="D24" s="317"/>
      <c r="E24" s="318"/>
      <c r="F24" s="319"/>
      <c r="G24" s="319"/>
      <c r="H24" s="239">
        <f t="shared" si="4"/>
        <v>0</v>
      </c>
      <c r="I24" s="240">
        <f t="shared" si="5"/>
        <v>0</v>
      </c>
      <c r="J24" s="241">
        <f t="shared" si="0"/>
        <v>0</v>
      </c>
      <c r="K24" s="269"/>
      <c r="L24" s="242"/>
      <c r="M24" s="238"/>
      <c r="N24" s="237"/>
      <c r="O24" s="238"/>
      <c r="P24" s="238"/>
      <c r="Q24" s="239">
        <f t="shared" si="6"/>
        <v>0</v>
      </c>
      <c r="R24" s="240">
        <f t="shared" si="1"/>
        <v>0</v>
      </c>
      <c r="S24" s="241">
        <f t="shared" si="2"/>
        <v>0</v>
      </c>
      <c r="T24" s="269"/>
      <c r="U24" s="239" t="s">
        <v>150</v>
      </c>
      <c r="V24" s="243" t="str">
        <f t="shared" si="3"/>
        <v>nee</v>
      </c>
      <c r="W24" s="244">
        <f t="shared" si="7"/>
        <v>0.442</v>
      </c>
      <c r="X24" s="245">
        <f t="shared" si="8"/>
        <v>0</v>
      </c>
      <c r="Y24" s="245" t="str">
        <f t="shared" si="9"/>
        <v/>
      </c>
    </row>
    <row r="25" spans="1:25" ht="15" customHeight="1" x14ac:dyDescent="0.25">
      <c r="A25" s="236" t="str">
        <f>IF(B25&lt;&gt;"&lt;Selecteer&gt;",MAX($A$4:A24)+1,"")</f>
        <v/>
      </c>
      <c r="B25" s="315" t="s">
        <v>35</v>
      </c>
      <c r="C25" s="316"/>
      <c r="D25" s="317"/>
      <c r="E25" s="318"/>
      <c r="F25" s="319"/>
      <c r="G25" s="319"/>
      <c r="H25" s="239">
        <f t="shared" si="4"/>
        <v>0</v>
      </c>
      <c r="I25" s="240">
        <f t="shared" si="5"/>
        <v>0</v>
      </c>
      <c r="J25" s="241">
        <f t="shared" si="0"/>
        <v>0</v>
      </c>
      <c r="K25" s="269"/>
      <c r="L25" s="242"/>
      <c r="M25" s="238"/>
      <c r="N25" s="237"/>
      <c r="O25" s="238"/>
      <c r="P25" s="238"/>
      <c r="Q25" s="239">
        <f t="shared" si="6"/>
        <v>0</v>
      </c>
      <c r="R25" s="240">
        <f t="shared" si="1"/>
        <v>0</v>
      </c>
      <c r="S25" s="241">
        <f t="shared" si="2"/>
        <v>0</v>
      </c>
      <c r="T25" s="269"/>
      <c r="U25" s="239" t="s">
        <v>150</v>
      </c>
      <c r="V25" s="243" t="str">
        <f t="shared" si="3"/>
        <v>nee</v>
      </c>
      <c r="W25" s="244">
        <f t="shared" si="7"/>
        <v>0.442</v>
      </c>
      <c r="X25" s="245">
        <f t="shared" si="8"/>
        <v>0</v>
      </c>
      <c r="Y25" s="245" t="str">
        <f t="shared" si="9"/>
        <v/>
      </c>
    </row>
    <row r="26" spans="1:25" ht="15" customHeight="1" x14ac:dyDescent="0.25">
      <c r="A26" s="236" t="str">
        <f>IF(B26&lt;&gt;"&lt;Selecteer&gt;",MAX($A$4:A25)+1,"")</f>
        <v/>
      </c>
      <c r="B26" s="315" t="s">
        <v>35</v>
      </c>
      <c r="C26" s="316"/>
      <c r="D26" s="317"/>
      <c r="E26" s="318"/>
      <c r="F26" s="319"/>
      <c r="G26" s="319"/>
      <c r="H26" s="239">
        <f t="shared" si="4"/>
        <v>0</v>
      </c>
      <c r="I26" s="240">
        <f t="shared" si="5"/>
        <v>0</v>
      </c>
      <c r="J26" s="241">
        <f t="shared" si="0"/>
        <v>0</v>
      </c>
      <c r="K26" s="269"/>
      <c r="L26" s="242"/>
      <c r="M26" s="238"/>
      <c r="N26" s="237"/>
      <c r="O26" s="238"/>
      <c r="P26" s="238"/>
      <c r="Q26" s="239">
        <f t="shared" si="6"/>
        <v>0</v>
      </c>
      <c r="R26" s="240">
        <f t="shared" si="1"/>
        <v>0</v>
      </c>
      <c r="S26" s="241">
        <f t="shared" si="2"/>
        <v>0</v>
      </c>
      <c r="T26" s="269"/>
      <c r="U26" s="239" t="s">
        <v>150</v>
      </c>
      <c r="V26" s="243" t="str">
        <f t="shared" si="3"/>
        <v>nee</v>
      </c>
      <c r="W26" s="244">
        <f t="shared" si="7"/>
        <v>0.442</v>
      </c>
      <c r="X26" s="245">
        <f t="shared" si="8"/>
        <v>0</v>
      </c>
      <c r="Y26" s="245" t="str">
        <f t="shared" si="9"/>
        <v/>
      </c>
    </row>
    <row r="27" spans="1:25" ht="15" customHeight="1" x14ac:dyDescent="0.25">
      <c r="A27" s="236" t="str">
        <f>IF(B27&lt;&gt;"&lt;Selecteer&gt;",MAX($A$4:A26)+1,"")</f>
        <v/>
      </c>
      <c r="B27" s="315" t="s">
        <v>35</v>
      </c>
      <c r="C27" s="316"/>
      <c r="D27" s="317"/>
      <c r="E27" s="318"/>
      <c r="F27" s="319"/>
      <c r="G27" s="319"/>
      <c r="H27" s="239">
        <f t="shared" si="4"/>
        <v>0</v>
      </c>
      <c r="I27" s="240">
        <f t="shared" si="5"/>
        <v>0</v>
      </c>
      <c r="J27" s="241">
        <f t="shared" si="0"/>
        <v>0</v>
      </c>
      <c r="K27" s="269"/>
      <c r="L27" s="242"/>
      <c r="M27" s="238"/>
      <c r="N27" s="237"/>
      <c r="O27" s="238"/>
      <c r="P27" s="238"/>
      <c r="Q27" s="239">
        <f t="shared" si="6"/>
        <v>0</v>
      </c>
      <c r="R27" s="240">
        <f t="shared" si="1"/>
        <v>0</v>
      </c>
      <c r="S27" s="241">
        <f t="shared" si="2"/>
        <v>0</v>
      </c>
      <c r="T27" s="269"/>
      <c r="U27" s="239" t="s">
        <v>150</v>
      </c>
      <c r="V27" s="243" t="str">
        <f t="shared" si="3"/>
        <v>nee</v>
      </c>
      <c r="W27" s="244">
        <f t="shared" si="7"/>
        <v>0.442</v>
      </c>
      <c r="X27" s="245">
        <f t="shared" si="8"/>
        <v>0</v>
      </c>
      <c r="Y27" s="245" t="str">
        <f t="shared" si="9"/>
        <v/>
      </c>
    </row>
    <row r="28" spans="1:25" ht="15" customHeight="1" x14ac:dyDescent="0.25">
      <c r="A28" s="236" t="str">
        <f>IF(B28&lt;&gt;"&lt;Selecteer&gt;",MAX($A$4:A27)+1,"")</f>
        <v/>
      </c>
      <c r="B28" s="315" t="s">
        <v>35</v>
      </c>
      <c r="C28" s="316"/>
      <c r="D28" s="317"/>
      <c r="E28" s="318"/>
      <c r="F28" s="319"/>
      <c r="G28" s="319"/>
      <c r="H28" s="239">
        <f t="shared" si="4"/>
        <v>0</v>
      </c>
      <c r="I28" s="240">
        <f t="shared" si="5"/>
        <v>0</v>
      </c>
      <c r="J28" s="241">
        <f t="shared" si="0"/>
        <v>0</v>
      </c>
      <c r="K28" s="269"/>
      <c r="L28" s="242"/>
      <c r="M28" s="238"/>
      <c r="N28" s="237"/>
      <c r="O28" s="238"/>
      <c r="P28" s="238"/>
      <c r="Q28" s="239">
        <f t="shared" si="6"/>
        <v>0</v>
      </c>
      <c r="R28" s="240">
        <f t="shared" si="1"/>
        <v>0</v>
      </c>
      <c r="S28" s="241">
        <f t="shared" si="2"/>
        <v>0</v>
      </c>
      <c r="T28" s="269"/>
      <c r="U28" s="239" t="s">
        <v>150</v>
      </c>
      <c r="V28" s="243" t="str">
        <f t="shared" si="3"/>
        <v>nee</v>
      </c>
      <c r="W28" s="244">
        <f t="shared" si="7"/>
        <v>0.442</v>
      </c>
      <c r="X28" s="245">
        <f t="shared" si="8"/>
        <v>0</v>
      </c>
      <c r="Y28" s="245" t="str">
        <f t="shared" si="9"/>
        <v/>
      </c>
    </row>
    <row r="29" spans="1:25" ht="15" customHeight="1" x14ac:dyDescent="0.25">
      <c r="A29" s="236" t="str">
        <f>IF(B29&lt;&gt;"&lt;Selecteer&gt;",MAX($A$4:A28)+1,"")</f>
        <v/>
      </c>
      <c r="B29" s="315" t="s">
        <v>35</v>
      </c>
      <c r="C29" s="316"/>
      <c r="D29" s="317"/>
      <c r="E29" s="318"/>
      <c r="F29" s="319"/>
      <c r="G29" s="319"/>
      <c r="H29" s="239">
        <f t="shared" si="4"/>
        <v>0</v>
      </c>
      <c r="I29" s="240">
        <f t="shared" si="5"/>
        <v>0</v>
      </c>
      <c r="J29" s="241">
        <f t="shared" si="0"/>
        <v>0</v>
      </c>
      <c r="K29" s="269"/>
      <c r="L29" s="242"/>
      <c r="M29" s="238"/>
      <c r="N29" s="237"/>
      <c r="O29" s="238"/>
      <c r="P29" s="238"/>
      <c r="Q29" s="239">
        <f t="shared" si="6"/>
        <v>0</v>
      </c>
      <c r="R29" s="240">
        <f t="shared" si="1"/>
        <v>0</v>
      </c>
      <c r="S29" s="241">
        <f t="shared" si="2"/>
        <v>0</v>
      </c>
      <c r="T29" s="269"/>
      <c r="U29" s="239" t="s">
        <v>150</v>
      </c>
      <c r="V29" s="243" t="str">
        <f t="shared" si="3"/>
        <v>nee</v>
      </c>
      <c r="W29" s="244">
        <f t="shared" si="7"/>
        <v>0.442</v>
      </c>
      <c r="X29" s="245">
        <f t="shared" si="8"/>
        <v>0</v>
      </c>
      <c r="Y29" s="245" t="str">
        <f t="shared" si="9"/>
        <v/>
      </c>
    </row>
    <row r="30" spans="1:25" ht="15" customHeight="1" x14ac:dyDescent="0.25">
      <c r="A30" s="236" t="str">
        <f>IF(B30&lt;&gt;"&lt;Selecteer&gt;",MAX($A$4:A29)+1,"")</f>
        <v/>
      </c>
      <c r="B30" s="315" t="s">
        <v>35</v>
      </c>
      <c r="C30" s="316"/>
      <c r="D30" s="317"/>
      <c r="E30" s="318"/>
      <c r="F30" s="319"/>
      <c r="G30" s="319"/>
      <c r="H30" s="239">
        <f t="shared" si="4"/>
        <v>0</v>
      </c>
      <c r="I30" s="240">
        <f t="shared" si="5"/>
        <v>0</v>
      </c>
      <c r="J30" s="241">
        <f t="shared" si="0"/>
        <v>0</v>
      </c>
      <c r="K30" s="269"/>
      <c r="L30" s="242"/>
      <c r="M30" s="238"/>
      <c r="N30" s="237"/>
      <c r="O30" s="238"/>
      <c r="P30" s="238"/>
      <c r="Q30" s="239">
        <f t="shared" si="6"/>
        <v>0</v>
      </c>
      <c r="R30" s="240">
        <f t="shared" si="1"/>
        <v>0</v>
      </c>
      <c r="S30" s="241">
        <f t="shared" si="2"/>
        <v>0</v>
      </c>
      <c r="T30" s="269"/>
      <c r="U30" s="239" t="s">
        <v>150</v>
      </c>
      <c r="V30" s="243" t="str">
        <f t="shared" si="3"/>
        <v>nee</v>
      </c>
      <c r="W30" s="244">
        <f t="shared" si="7"/>
        <v>0.442</v>
      </c>
      <c r="X30" s="245">
        <f t="shared" si="8"/>
        <v>0</v>
      </c>
      <c r="Y30" s="245" t="str">
        <f t="shared" si="9"/>
        <v/>
      </c>
    </row>
    <row r="31" spans="1:25" ht="15" customHeight="1" x14ac:dyDescent="0.25">
      <c r="A31" s="236" t="str">
        <f>IF(B31&lt;&gt;"&lt;Selecteer&gt;",MAX($A$4:A30)+1,"")</f>
        <v/>
      </c>
      <c r="B31" s="315" t="s">
        <v>35</v>
      </c>
      <c r="C31" s="316"/>
      <c r="D31" s="317"/>
      <c r="E31" s="318"/>
      <c r="F31" s="319"/>
      <c r="G31" s="319"/>
      <c r="H31" s="239">
        <f t="shared" si="4"/>
        <v>0</v>
      </c>
      <c r="I31" s="240">
        <f t="shared" si="5"/>
        <v>0</v>
      </c>
      <c r="J31" s="241">
        <f t="shared" si="0"/>
        <v>0</v>
      </c>
      <c r="K31" s="269"/>
      <c r="L31" s="242"/>
      <c r="M31" s="238"/>
      <c r="N31" s="237"/>
      <c r="O31" s="238"/>
      <c r="P31" s="238"/>
      <c r="Q31" s="239">
        <f t="shared" si="6"/>
        <v>0</v>
      </c>
      <c r="R31" s="240">
        <f t="shared" si="1"/>
        <v>0</v>
      </c>
      <c r="S31" s="241">
        <f t="shared" si="2"/>
        <v>0</v>
      </c>
      <c r="T31" s="269"/>
      <c r="U31" s="239" t="s">
        <v>150</v>
      </c>
      <c r="V31" s="243" t="str">
        <f t="shared" si="3"/>
        <v>nee</v>
      </c>
      <c r="W31" s="244">
        <f t="shared" si="7"/>
        <v>0.442</v>
      </c>
      <c r="X31" s="245">
        <f t="shared" si="8"/>
        <v>0</v>
      </c>
      <c r="Y31" s="245" t="str">
        <f t="shared" si="9"/>
        <v/>
      </c>
    </row>
    <row r="32" spans="1:25" ht="15" customHeight="1" x14ac:dyDescent="0.25">
      <c r="A32" s="236" t="str">
        <f>IF(B32&lt;&gt;"&lt;Selecteer&gt;",MAX($A$4:A31)+1,"")</f>
        <v/>
      </c>
      <c r="B32" s="315" t="s">
        <v>35</v>
      </c>
      <c r="C32" s="316"/>
      <c r="D32" s="317"/>
      <c r="E32" s="318"/>
      <c r="F32" s="319"/>
      <c r="G32" s="319"/>
      <c r="H32" s="239">
        <f t="shared" si="4"/>
        <v>0</v>
      </c>
      <c r="I32" s="240">
        <f t="shared" si="5"/>
        <v>0</v>
      </c>
      <c r="J32" s="241">
        <f t="shared" si="0"/>
        <v>0</v>
      </c>
      <c r="K32" s="269"/>
      <c r="L32" s="242"/>
      <c r="M32" s="238"/>
      <c r="N32" s="237"/>
      <c r="O32" s="238"/>
      <c r="P32" s="238"/>
      <c r="Q32" s="239">
        <f t="shared" si="6"/>
        <v>0</v>
      </c>
      <c r="R32" s="240">
        <f t="shared" si="1"/>
        <v>0</v>
      </c>
      <c r="S32" s="241">
        <f t="shared" si="2"/>
        <v>0</v>
      </c>
      <c r="T32" s="269"/>
      <c r="U32" s="239" t="s">
        <v>150</v>
      </c>
      <c r="V32" s="243" t="str">
        <f t="shared" si="3"/>
        <v>nee</v>
      </c>
      <c r="W32" s="244">
        <f t="shared" si="7"/>
        <v>0.442</v>
      </c>
      <c r="X32" s="245">
        <f t="shared" si="8"/>
        <v>0</v>
      </c>
      <c r="Y32" s="245" t="str">
        <f t="shared" si="9"/>
        <v/>
      </c>
    </row>
    <row r="33" spans="1:25" ht="15" customHeight="1" x14ac:dyDescent="0.25">
      <c r="A33" s="236" t="str">
        <f>IF(B33&lt;&gt;"&lt;Selecteer&gt;",MAX($A$4:A32)+1,"")</f>
        <v/>
      </c>
      <c r="B33" s="315" t="s">
        <v>35</v>
      </c>
      <c r="C33" s="316"/>
      <c r="D33" s="317"/>
      <c r="E33" s="318"/>
      <c r="F33" s="319"/>
      <c r="G33" s="319"/>
      <c r="H33" s="239">
        <f t="shared" si="4"/>
        <v>0</v>
      </c>
      <c r="I33" s="240">
        <f t="shared" si="5"/>
        <v>0</v>
      </c>
      <c r="J33" s="241">
        <f t="shared" si="0"/>
        <v>0</v>
      </c>
      <c r="K33" s="269"/>
      <c r="L33" s="242"/>
      <c r="M33" s="238"/>
      <c r="N33" s="237"/>
      <c r="O33" s="238"/>
      <c r="P33" s="238"/>
      <c r="Q33" s="239">
        <f t="shared" si="6"/>
        <v>0</v>
      </c>
      <c r="R33" s="240">
        <f t="shared" si="1"/>
        <v>0</v>
      </c>
      <c r="S33" s="241">
        <f t="shared" si="2"/>
        <v>0</v>
      </c>
      <c r="T33" s="269"/>
      <c r="U33" s="239" t="s">
        <v>150</v>
      </c>
      <c r="V33" s="243" t="str">
        <f t="shared" si="3"/>
        <v>nee</v>
      </c>
      <c r="W33" s="244">
        <f t="shared" si="7"/>
        <v>0.442</v>
      </c>
      <c r="X33" s="245">
        <f t="shared" si="8"/>
        <v>0</v>
      </c>
      <c r="Y33" s="245" t="str">
        <f t="shared" si="9"/>
        <v/>
      </c>
    </row>
    <row r="34" spans="1:25" ht="15" customHeight="1" x14ac:dyDescent="0.25">
      <c r="A34" s="236" t="str">
        <f>IF(B34&lt;&gt;"&lt;Selecteer&gt;",MAX($A$4:A33)+1,"")</f>
        <v/>
      </c>
      <c r="B34" s="315" t="s">
        <v>35</v>
      </c>
      <c r="C34" s="316"/>
      <c r="D34" s="317"/>
      <c r="E34" s="318"/>
      <c r="F34" s="319"/>
      <c r="G34" s="319"/>
      <c r="H34" s="239">
        <f t="shared" si="4"/>
        <v>0</v>
      </c>
      <c r="I34" s="240">
        <f t="shared" si="5"/>
        <v>0</v>
      </c>
      <c r="J34" s="241">
        <f t="shared" si="0"/>
        <v>0</v>
      </c>
      <c r="K34" s="269"/>
      <c r="L34" s="242"/>
      <c r="M34" s="238"/>
      <c r="N34" s="237"/>
      <c r="O34" s="238"/>
      <c r="P34" s="238"/>
      <c r="Q34" s="239">
        <f t="shared" si="6"/>
        <v>0</v>
      </c>
      <c r="R34" s="240">
        <f t="shared" si="1"/>
        <v>0</v>
      </c>
      <c r="S34" s="241">
        <f t="shared" si="2"/>
        <v>0</v>
      </c>
      <c r="T34" s="269"/>
      <c r="U34" s="239" t="s">
        <v>150</v>
      </c>
      <c r="V34" s="243" t="str">
        <f t="shared" si="3"/>
        <v>nee</v>
      </c>
      <c r="W34" s="244">
        <f t="shared" si="7"/>
        <v>0.442</v>
      </c>
      <c r="X34" s="245">
        <f t="shared" si="8"/>
        <v>0</v>
      </c>
      <c r="Y34" s="245" t="str">
        <f t="shared" si="9"/>
        <v/>
      </c>
    </row>
    <row r="35" spans="1:25" ht="15" customHeight="1" x14ac:dyDescent="0.25">
      <c r="A35" s="236" t="str">
        <f>IF(B35&lt;&gt;"&lt;Selecteer&gt;",MAX($A$4:A34)+1,"")</f>
        <v/>
      </c>
      <c r="B35" s="315" t="s">
        <v>35</v>
      </c>
      <c r="C35" s="316"/>
      <c r="D35" s="317"/>
      <c r="E35" s="318"/>
      <c r="F35" s="319"/>
      <c r="G35" s="319"/>
      <c r="H35" s="239">
        <f t="shared" si="4"/>
        <v>0</v>
      </c>
      <c r="I35" s="240">
        <f t="shared" si="5"/>
        <v>0</v>
      </c>
      <c r="J35" s="241">
        <f t="shared" si="0"/>
        <v>0</v>
      </c>
      <c r="K35" s="269"/>
      <c r="L35" s="242"/>
      <c r="M35" s="238"/>
      <c r="N35" s="237"/>
      <c r="O35" s="238"/>
      <c r="P35" s="238"/>
      <c r="Q35" s="239">
        <f t="shared" si="6"/>
        <v>0</v>
      </c>
      <c r="R35" s="240">
        <f t="shared" si="1"/>
        <v>0</v>
      </c>
      <c r="S35" s="241">
        <f t="shared" si="2"/>
        <v>0</v>
      </c>
      <c r="T35" s="269"/>
      <c r="U35" s="239" t="s">
        <v>150</v>
      </c>
      <c r="V35" s="243" t="str">
        <f t="shared" si="3"/>
        <v>nee</v>
      </c>
      <c r="W35" s="244">
        <f t="shared" si="7"/>
        <v>0.442</v>
      </c>
      <c r="X35" s="245">
        <f t="shared" si="8"/>
        <v>0</v>
      </c>
      <c r="Y35" s="245" t="str">
        <f t="shared" si="9"/>
        <v/>
      </c>
    </row>
    <row r="36" spans="1:25" ht="15" customHeight="1" x14ac:dyDescent="0.25">
      <c r="A36" s="236" t="str">
        <f>IF(B36&lt;&gt;"&lt;Selecteer&gt;",MAX($A$4:A35)+1,"")</f>
        <v/>
      </c>
      <c r="B36" s="315" t="s">
        <v>35</v>
      </c>
      <c r="C36" s="316"/>
      <c r="D36" s="317"/>
      <c r="E36" s="318"/>
      <c r="F36" s="319"/>
      <c r="G36" s="319"/>
      <c r="H36" s="239">
        <f t="shared" si="4"/>
        <v>0</v>
      </c>
      <c r="I36" s="240">
        <f t="shared" si="5"/>
        <v>0</v>
      </c>
      <c r="J36" s="241">
        <f t="shared" si="0"/>
        <v>0</v>
      </c>
      <c r="K36" s="269"/>
      <c r="L36" s="242"/>
      <c r="M36" s="238"/>
      <c r="N36" s="237"/>
      <c r="O36" s="238"/>
      <c r="P36" s="238"/>
      <c r="Q36" s="239">
        <f t="shared" si="6"/>
        <v>0</v>
      </c>
      <c r="R36" s="240">
        <f t="shared" si="1"/>
        <v>0</v>
      </c>
      <c r="S36" s="241">
        <f t="shared" si="2"/>
        <v>0</v>
      </c>
      <c r="T36" s="269"/>
      <c r="U36" s="239" t="s">
        <v>150</v>
      </c>
      <c r="V36" s="243" t="str">
        <f t="shared" si="3"/>
        <v>nee</v>
      </c>
      <c r="W36" s="244">
        <f t="shared" si="7"/>
        <v>0.442</v>
      </c>
      <c r="X36" s="245">
        <f t="shared" si="8"/>
        <v>0</v>
      </c>
      <c r="Y36" s="245" t="str">
        <f t="shared" si="9"/>
        <v/>
      </c>
    </row>
    <row r="37" spans="1:25" ht="15" customHeight="1" x14ac:dyDescent="0.25">
      <c r="A37" s="236" t="str">
        <f>IF(B37&lt;&gt;"&lt;Selecteer&gt;",MAX($A$4:A36)+1,"")</f>
        <v/>
      </c>
      <c r="B37" s="315" t="s">
        <v>35</v>
      </c>
      <c r="C37" s="316"/>
      <c r="D37" s="317"/>
      <c r="E37" s="318"/>
      <c r="F37" s="319"/>
      <c r="G37" s="319"/>
      <c r="H37" s="239">
        <f t="shared" si="4"/>
        <v>0</v>
      </c>
      <c r="I37" s="240">
        <f t="shared" si="5"/>
        <v>0</v>
      </c>
      <c r="J37" s="241">
        <f t="shared" ref="J37:J54" si="10">IF($B37="nee",IFERROR(ROUND(H37*(1+$W37)/I37,2),0),0)</f>
        <v>0</v>
      </c>
      <c r="K37" s="269"/>
      <c r="L37" s="242"/>
      <c r="M37" s="238"/>
      <c r="N37" s="237"/>
      <c r="O37" s="238"/>
      <c r="P37" s="238"/>
      <c r="Q37" s="239">
        <f t="shared" si="6"/>
        <v>0</v>
      </c>
      <c r="R37" s="240">
        <f t="shared" ref="R37:R54" si="11">1720*N37/40</f>
        <v>0</v>
      </c>
      <c r="S37" s="241">
        <f t="shared" ref="S37:S54" si="12">IF($B37="nee",IFERROR(ROUND(Q37*(1+$W37)/R37,2),0),0)</f>
        <v>0</v>
      </c>
      <c r="T37" s="269"/>
      <c r="U37" s="239" t="s">
        <v>150</v>
      </c>
      <c r="V37" s="243" t="str">
        <f t="shared" si="3"/>
        <v>nee</v>
      </c>
      <c r="W37" s="244">
        <f t="shared" si="7"/>
        <v>0.442</v>
      </c>
      <c r="X37" s="245">
        <f t="shared" si="8"/>
        <v>0</v>
      </c>
      <c r="Y37" s="245" t="str">
        <f t="shared" si="9"/>
        <v/>
      </c>
    </row>
    <row r="38" spans="1:25" ht="15" customHeight="1" x14ac:dyDescent="0.25">
      <c r="A38" s="236" t="str">
        <f>IF(B38&lt;&gt;"&lt;Selecteer&gt;",MAX($A$4:A37)+1,"")</f>
        <v/>
      </c>
      <c r="B38" s="315" t="s">
        <v>35</v>
      </c>
      <c r="C38" s="316"/>
      <c r="D38" s="317"/>
      <c r="E38" s="318"/>
      <c r="F38" s="319"/>
      <c r="G38" s="319"/>
      <c r="H38" s="239">
        <f t="shared" si="4"/>
        <v>0</v>
      </c>
      <c r="I38" s="240">
        <f t="shared" si="5"/>
        <v>0</v>
      </c>
      <c r="J38" s="241">
        <f t="shared" si="10"/>
        <v>0</v>
      </c>
      <c r="K38" s="269"/>
      <c r="L38" s="242"/>
      <c r="M38" s="238"/>
      <c r="N38" s="237"/>
      <c r="O38" s="238"/>
      <c r="P38" s="238"/>
      <c r="Q38" s="239">
        <f t="shared" si="6"/>
        <v>0</v>
      </c>
      <c r="R38" s="240">
        <f t="shared" si="11"/>
        <v>0</v>
      </c>
      <c r="S38" s="241">
        <f t="shared" si="12"/>
        <v>0</v>
      </c>
      <c r="T38" s="269"/>
      <c r="U38" s="239" t="s">
        <v>150</v>
      </c>
      <c r="V38" s="243" t="str">
        <f t="shared" si="3"/>
        <v>nee</v>
      </c>
      <c r="W38" s="244">
        <f t="shared" si="7"/>
        <v>0.442</v>
      </c>
      <c r="X38" s="245">
        <f t="shared" si="8"/>
        <v>0</v>
      </c>
      <c r="Y38" s="245" t="str">
        <f t="shared" si="9"/>
        <v/>
      </c>
    </row>
    <row r="39" spans="1:25" ht="15" customHeight="1" x14ac:dyDescent="0.25">
      <c r="A39" s="236" t="str">
        <f>IF(B39&lt;&gt;"&lt;Selecteer&gt;",MAX($A$4:A38)+1,"")</f>
        <v/>
      </c>
      <c r="B39" s="315" t="s">
        <v>35</v>
      </c>
      <c r="C39" s="316"/>
      <c r="D39" s="317"/>
      <c r="E39" s="318"/>
      <c r="F39" s="319"/>
      <c r="G39" s="319"/>
      <c r="H39" s="239">
        <f t="shared" si="4"/>
        <v>0</v>
      </c>
      <c r="I39" s="240">
        <f t="shared" si="5"/>
        <v>0</v>
      </c>
      <c r="J39" s="241">
        <f t="shared" si="10"/>
        <v>0</v>
      </c>
      <c r="K39" s="269"/>
      <c r="L39" s="242"/>
      <c r="M39" s="238"/>
      <c r="N39" s="237"/>
      <c r="O39" s="238"/>
      <c r="P39" s="238"/>
      <c r="Q39" s="239">
        <f t="shared" si="6"/>
        <v>0</v>
      </c>
      <c r="R39" s="240">
        <f t="shared" si="11"/>
        <v>0</v>
      </c>
      <c r="S39" s="241">
        <f t="shared" si="12"/>
        <v>0</v>
      </c>
      <c r="T39" s="269"/>
      <c r="U39" s="239" t="s">
        <v>150</v>
      </c>
      <c r="V39" s="243" t="str">
        <f t="shared" si="3"/>
        <v>nee</v>
      </c>
      <c r="W39" s="244">
        <f t="shared" si="7"/>
        <v>0.442</v>
      </c>
      <c r="X39" s="245">
        <f t="shared" si="8"/>
        <v>0</v>
      </c>
      <c r="Y39" s="245" t="str">
        <f t="shared" si="9"/>
        <v/>
      </c>
    </row>
    <row r="40" spans="1:25" ht="15" customHeight="1" x14ac:dyDescent="0.25">
      <c r="A40" s="236" t="str">
        <f>IF(B40&lt;&gt;"&lt;Selecteer&gt;",MAX($A$4:A39)+1,"")</f>
        <v/>
      </c>
      <c r="B40" s="315" t="s">
        <v>35</v>
      </c>
      <c r="C40" s="316"/>
      <c r="D40" s="317"/>
      <c r="E40" s="318"/>
      <c r="F40" s="319"/>
      <c r="G40" s="319"/>
      <c r="H40" s="239">
        <f t="shared" si="4"/>
        <v>0</v>
      </c>
      <c r="I40" s="240">
        <f t="shared" si="5"/>
        <v>0</v>
      </c>
      <c r="J40" s="241">
        <f t="shared" si="10"/>
        <v>0</v>
      </c>
      <c r="K40" s="269"/>
      <c r="L40" s="242"/>
      <c r="M40" s="238"/>
      <c r="N40" s="237"/>
      <c r="O40" s="238"/>
      <c r="P40" s="238"/>
      <c r="Q40" s="239">
        <f t="shared" si="6"/>
        <v>0</v>
      </c>
      <c r="R40" s="240">
        <f t="shared" si="11"/>
        <v>0</v>
      </c>
      <c r="S40" s="241">
        <f t="shared" si="12"/>
        <v>0</v>
      </c>
      <c r="T40" s="269"/>
      <c r="U40" s="239" t="s">
        <v>150</v>
      </c>
      <c r="V40" s="243" t="str">
        <f t="shared" si="3"/>
        <v>nee</v>
      </c>
      <c r="W40" s="244">
        <f t="shared" si="7"/>
        <v>0.442</v>
      </c>
      <c r="X40" s="245">
        <f t="shared" si="8"/>
        <v>0</v>
      </c>
      <c r="Y40" s="245" t="str">
        <f t="shared" si="9"/>
        <v/>
      </c>
    </row>
    <row r="41" spans="1:25" ht="15" customHeight="1" x14ac:dyDescent="0.25">
      <c r="A41" s="236" t="str">
        <f>IF(B41&lt;&gt;"&lt;Selecteer&gt;",MAX($A$4:A40)+1,"")</f>
        <v/>
      </c>
      <c r="B41" s="315" t="s">
        <v>35</v>
      </c>
      <c r="C41" s="316"/>
      <c r="D41" s="317"/>
      <c r="E41" s="318"/>
      <c r="F41" s="319"/>
      <c r="G41" s="319"/>
      <c r="H41" s="239">
        <f t="shared" si="4"/>
        <v>0</v>
      </c>
      <c r="I41" s="240">
        <f t="shared" si="5"/>
        <v>0</v>
      </c>
      <c r="J41" s="241">
        <f t="shared" si="10"/>
        <v>0</v>
      </c>
      <c r="K41" s="269"/>
      <c r="L41" s="242"/>
      <c r="M41" s="238"/>
      <c r="N41" s="237"/>
      <c r="O41" s="238"/>
      <c r="P41" s="238"/>
      <c r="Q41" s="239">
        <f t="shared" si="6"/>
        <v>0</v>
      </c>
      <c r="R41" s="240">
        <f t="shared" si="11"/>
        <v>0</v>
      </c>
      <c r="S41" s="241">
        <f t="shared" si="12"/>
        <v>0</v>
      </c>
      <c r="T41" s="269"/>
      <c r="U41" s="239" t="s">
        <v>150</v>
      </c>
      <c r="V41" s="243" t="str">
        <f t="shared" si="3"/>
        <v>nee</v>
      </c>
      <c r="W41" s="244">
        <f t="shared" si="7"/>
        <v>0.442</v>
      </c>
      <c r="X41" s="245">
        <f t="shared" si="8"/>
        <v>0</v>
      </c>
      <c r="Y41" s="245" t="str">
        <f t="shared" si="9"/>
        <v/>
      </c>
    </row>
    <row r="42" spans="1:25" ht="15" customHeight="1" x14ac:dyDescent="0.25">
      <c r="A42" s="236" t="str">
        <f>IF(B42&lt;&gt;"&lt;Selecteer&gt;",MAX($A$4:A41)+1,"")</f>
        <v/>
      </c>
      <c r="B42" s="315" t="s">
        <v>35</v>
      </c>
      <c r="C42" s="316"/>
      <c r="D42" s="317"/>
      <c r="E42" s="318"/>
      <c r="F42" s="319"/>
      <c r="G42" s="319"/>
      <c r="H42" s="239">
        <f t="shared" si="4"/>
        <v>0</v>
      </c>
      <c r="I42" s="240">
        <f t="shared" si="5"/>
        <v>0</v>
      </c>
      <c r="J42" s="241">
        <f t="shared" si="10"/>
        <v>0</v>
      </c>
      <c r="K42" s="269"/>
      <c r="L42" s="242"/>
      <c r="M42" s="238"/>
      <c r="N42" s="237"/>
      <c r="O42" s="238"/>
      <c r="P42" s="238"/>
      <c r="Q42" s="239">
        <f t="shared" si="6"/>
        <v>0</v>
      </c>
      <c r="R42" s="240">
        <f t="shared" si="11"/>
        <v>0</v>
      </c>
      <c r="S42" s="241">
        <f t="shared" si="12"/>
        <v>0</v>
      </c>
      <c r="T42" s="269"/>
      <c r="U42" s="239" t="s">
        <v>150</v>
      </c>
      <c r="V42" s="243" t="str">
        <f t="shared" si="3"/>
        <v>nee</v>
      </c>
      <c r="W42" s="244">
        <f t="shared" si="7"/>
        <v>0.442</v>
      </c>
      <c r="X42" s="245">
        <f t="shared" si="8"/>
        <v>0</v>
      </c>
      <c r="Y42" s="245" t="str">
        <f t="shared" si="9"/>
        <v/>
      </c>
    </row>
    <row r="43" spans="1:25" ht="15" customHeight="1" x14ac:dyDescent="0.25">
      <c r="A43" s="236" t="str">
        <f>IF(B43&lt;&gt;"&lt;Selecteer&gt;",MAX($A$4:A42)+1,"")</f>
        <v/>
      </c>
      <c r="B43" s="315" t="s">
        <v>35</v>
      </c>
      <c r="C43" s="316"/>
      <c r="D43" s="317"/>
      <c r="E43" s="318"/>
      <c r="F43" s="319"/>
      <c r="G43" s="319"/>
      <c r="H43" s="239">
        <f t="shared" si="4"/>
        <v>0</v>
      </c>
      <c r="I43" s="240">
        <f t="shared" si="5"/>
        <v>0</v>
      </c>
      <c r="J43" s="241">
        <f t="shared" si="10"/>
        <v>0</v>
      </c>
      <c r="K43" s="269"/>
      <c r="L43" s="242"/>
      <c r="M43" s="238"/>
      <c r="N43" s="237"/>
      <c r="O43" s="238"/>
      <c r="P43" s="238"/>
      <c r="Q43" s="239">
        <f t="shared" si="6"/>
        <v>0</v>
      </c>
      <c r="R43" s="240">
        <f t="shared" si="11"/>
        <v>0</v>
      </c>
      <c r="S43" s="241">
        <f t="shared" si="12"/>
        <v>0</v>
      </c>
      <c r="T43" s="269"/>
      <c r="U43" s="239" t="s">
        <v>150</v>
      </c>
      <c r="V43" s="243" t="str">
        <f t="shared" si="3"/>
        <v>nee</v>
      </c>
      <c r="W43" s="244">
        <f t="shared" si="7"/>
        <v>0.442</v>
      </c>
      <c r="X43" s="245">
        <f t="shared" si="8"/>
        <v>0</v>
      </c>
      <c r="Y43" s="245" t="str">
        <f t="shared" si="9"/>
        <v/>
      </c>
    </row>
    <row r="44" spans="1:25" ht="15" customHeight="1" x14ac:dyDescent="0.25">
      <c r="A44" s="236" t="str">
        <f>IF(B44&lt;&gt;"&lt;Selecteer&gt;",MAX($A$4:A43)+1,"")</f>
        <v/>
      </c>
      <c r="B44" s="315" t="s">
        <v>35</v>
      </c>
      <c r="C44" s="316"/>
      <c r="D44" s="317"/>
      <c r="E44" s="318"/>
      <c r="F44" s="319"/>
      <c r="G44" s="319"/>
      <c r="H44" s="239">
        <f t="shared" si="4"/>
        <v>0</v>
      </c>
      <c r="I44" s="240">
        <f t="shared" si="5"/>
        <v>0</v>
      </c>
      <c r="J44" s="241">
        <f t="shared" si="10"/>
        <v>0</v>
      </c>
      <c r="K44" s="269"/>
      <c r="L44" s="242"/>
      <c r="M44" s="238"/>
      <c r="N44" s="237"/>
      <c r="O44" s="238"/>
      <c r="P44" s="238"/>
      <c r="Q44" s="239">
        <f t="shared" si="6"/>
        <v>0</v>
      </c>
      <c r="R44" s="240">
        <f t="shared" si="11"/>
        <v>0</v>
      </c>
      <c r="S44" s="241">
        <f t="shared" si="12"/>
        <v>0</v>
      </c>
      <c r="T44" s="269"/>
      <c r="U44" s="239" t="s">
        <v>150</v>
      </c>
      <c r="V44" s="243" t="str">
        <f t="shared" si="3"/>
        <v>nee</v>
      </c>
      <c r="W44" s="244">
        <f t="shared" si="7"/>
        <v>0.442</v>
      </c>
      <c r="X44" s="245">
        <f t="shared" si="8"/>
        <v>0</v>
      </c>
      <c r="Y44" s="245" t="str">
        <f t="shared" si="9"/>
        <v/>
      </c>
    </row>
    <row r="45" spans="1:25" ht="15" customHeight="1" x14ac:dyDescent="0.25">
      <c r="A45" s="236" t="str">
        <f>IF(B45&lt;&gt;"&lt;Selecteer&gt;",MAX($A$4:A44)+1,"")</f>
        <v/>
      </c>
      <c r="B45" s="315" t="s">
        <v>35</v>
      </c>
      <c r="C45" s="316"/>
      <c r="D45" s="317"/>
      <c r="E45" s="318"/>
      <c r="F45" s="319"/>
      <c r="G45" s="319"/>
      <c r="H45" s="239">
        <f t="shared" si="4"/>
        <v>0</v>
      </c>
      <c r="I45" s="240">
        <f t="shared" si="5"/>
        <v>0</v>
      </c>
      <c r="J45" s="241">
        <f t="shared" si="10"/>
        <v>0</v>
      </c>
      <c r="K45" s="269"/>
      <c r="L45" s="242"/>
      <c r="M45" s="238"/>
      <c r="N45" s="237"/>
      <c r="O45" s="238"/>
      <c r="P45" s="238"/>
      <c r="Q45" s="239">
        <f t="shared" si="6"/>
        <v>0</v>
      </c>
      <c r="R45" s="240">
        <f t="shared" si="11"/>
        <v>0</v>
      </c>
      <c r="S45" s="241">
        <f t="shared" si="12"/>
        <v>0</v>
      </c>
      <c r="T45" s="269"/>
      <c r="U45" s="239" t="s">
        <v>150</v>
      </c>
      <c r="V45" s="243" t="str">
        <f t="shared" si="3"/>
        <v>nee</v>
      </c>
      <c r="W45" s="244">
        <f t="shared" si="7"/>
        <v>0.442</v>
      </c>
      <c r="X45" s="245">
        <f t="shared" si="8"/>
        <v>0</v>
      </c>
      <c r="Y45" s="245" t="str">
        <f t="shared" si="9"/>
        <v/>
      </c>
    </row>
    <row r="46" spans="1:25" ht="15" customHeight="1" x14ac:dyDescent="0.25">
      <c r="A46" s="236" t="str">
        <f>IF(B46&lt;&gt;"&lt;Selecteer&gt;",MAX($A$4:A45)+1,"")</f>
        <v/>
      </c>
      <c r="B46" s="315" t="s">
        <v>35</v>
      </c>
      <c r="C46" s="316"/>
      <c r="D46" s="317"/>
      <c r="E46" s="318"/>
      <c r="F46" s="319"/>
      <c r="G46" s="319"/>
      <c r="H46" s="239">
        <f t="shared" si="4"/>
        <v>0</v>
      </c>
      <c r="I46" s="240">
        <f t="shared" si="5"/>
        <v>0</v>
      </c>
      <c r="J46" s="241">
        <f t="shared" si="10"/>
        <v>0</v>
      </c>
      <c r="K46" s="269"/>
      <c r="L46" s="242"/>
      <c r="M46" s="238"/>
      <c r="N46" s="237"/>
      <c r="O46" s="238"/>
      <c r="P46" s="238"/>
      <c r="Q46" s="239">
        <f t="shared" si="6"/>
        <v>0</v>
      </c>
      <c r="R46" s="240">
        <f t="shared" si="11"/>
        <v>0</v>
      </c>
      <c r="S46" s="241">
        <f t="shared" si="12"/>
        <v>0</v>
      </c>
      <c r="T46" s="269"/>
      <c r="U46" s="239" t="s">
        <v>150</v>
      </c>
      <c r="V46" s="243" t="str">
        <f t="shared" si="3"/>
        <v>nee</v>
      </c>
      <c r="W46" s="244">
        <f t="shared" si="7"/>
        <v>0.442</v>
      </c>
      <c r="X46" s="245">
        <f t="shared" si="8"/>
        <v>0</v>
      </c>
      <c r="Y46" s="245" t="str">
        <f t="shared" si="9"/>
        <v/>
      </c>
    </row>
    <row r="47" spans="1:25" ht="15" customHeight="1" x14ac:dyDescent="0.25">
      <c r="A47" s="236" t="str">
        <f>IF(B47&lt;&gt;"&lt;Selecteer&gt;",MAX($A$4:A46)+1,"")</f>
        <v/>
      </c>
      <c r="B47" s="315" t="s">
        <v>35</v>
      </c>
      <c r="C47" s="316"/>
      <c r="D47" s="317"/>
      <c r="E47" s="318"/>
      <c r="F47" s="319"/>
      <c r="G47" s="319"/>
      <c r="H47" s="239">
        <f t="shared" si="4"/>
        <v>0</v>
      </c>
      <c r="I47" s="240">
        <f t="shared" si="5"/>
        <v>0</v>
      </c>
      <c r="J47" s="241">
        <f t="shared" si="10"/>
        <v>0</v>
      </c>
      <c r="K47" s="269"/>
      <c r="L47" s="242"/>
      <c r="M47" s="238"/>
      <c r="N47" s="237"/>
      <c r="O47" s="238"/>
      <c r="P47" s="238"/>
      <c r="Q47" s="239">
        <f t="shared" si="6"/>
        <v>0</v>
      </c>
      <c r="R47" s="240">
        <f t="shared" si="11"/>
        <v>0</v>
      </c>
      <c r="S47" s="241">
        <f t="shared" si="12"/>
        <v>0</v>
      </c>
      <c r="T47" s="269"/>
      <c r="U47" s="239" t="s">
        <v>150</v>
      </c>
      <c r="V47" s="243" t="str">
        <f t="shared" si="3"/>
        <v>nee</v>
      </c>
      <c r="W47" s="244">
        <f t="shared" si="7"/>
        <v>0.442</v>
      </c>
      <c r="X47" s="245">
        <f t="shared" si="8"/>
        <v>0</v>
      </c>
      <c r="Y47" s="245" t="str">
        <f t="shared" si="9"/>
        <v/>
      </c>
    </row>
    <row r="48" spans="1:25" ht="15" customHeight="1" x14ac:dyDescent="0.25">
      <c r="A48" s="236" t="str">
        <f>IF(B48&lt;&gt;"&lt;Selecteer&gt;",MAX($A$4:A47)+1,"")</f>
        <v/>
      </c>
      <c r="B48" s="315" t="s">
        <v>35</v>
      </c>
      <c r="C48" s="316"/>
      <c r="D48" s="317"/>
      <c r="E48" s="318"/>
      <c r="F48" s="319"/>
      <c r="G48" s="319"/>
      <c r="H48" s="239">
        <f t="shared" si="4"/>
        <v>0</v>
      </c>
      <c r="I48" s="240">
        <f t="shared" si="5"/>
        <v>0</v>
      </c>
      <c r="J48" s="241">
        <f t="shared" si="10"/>
        <v>0</v>
      </c>
      <c r="K48" s="269"/>
      <c r="L48" s="242"/>
      <c r="M48" s="238"/>
      <c r="N48" s="237"/>
      <c r="O48" s="238"/>
      <c r="P48" s="238"/>
      <c r="Q48" s="239">
        <f t="shared" si="6"/>
        <v>0</v>
      </c>
      <c r="R48" s="240">
        <f t="shared" si="11"/>
        <v>0</v>
      </c>
      <c r="S48" s="241">
        <f t="shared" si="12"/>
        <v>0</v>
      </c>
      <c r="T48" s="269"/>
      <c r="U48" s="239" t="s">
        <v>150</v>
      </c>
      <c r="V48" s="243" t="str">
        <f t="shared" si="3"/>
        <v>nee</v>
      </c>
      <c r="W48" s="244">
        <f t="shared" si="7"/>
        <v>0.442</v>
      </c>
      <c r="X48" s="245">
        <f t="shared" si="8"/>
        <v>0</v>
      </c>
      <c r="Y48" s="245" t="str">
        <f t="shared" si="9"/>
        <v/>
      </c>
    </row>
    <row r="49" spans="1:25" ht="15" customHeight="1" x14ac:dyDescent="0.25">
      <c r="A49" s="236" t="str">
        <f>IF(B49&lt;&gt;"&lt;Selecteer&gt;",MAX($A$4:A48)+1,"")</f>
        <v/>
      </c>
      <c r="B49" s="315" t="s">
        <v>35</v>
      </c>
      <c r="C49" s="316"/>
      <c r="D49" s="317"/>
      <c r="E49" s="318"/>
      <c r="F49" s="319"/>
      <c r="G49" s="319"/>
      <c r="H49" s="239">
        <f t="shared" si="4"/>
        <v>0</v>
      </c>
      <c r="I49" s="240">
        <f t="shared" si="5"/>
        <v>0</v>
      </c>
      <c r="J49" s="241">
        <f t="shared" si="10"/>
        <v>0</v>
      </c>
      <c r="K49" s="269"/>
      <c r="L49" s="242"/>
      <c r="M49" s="238"/>
      <c r="N49" s="237"/>
      <c r="O49" s="238"/>
      <c r="P49" s="238"/>
      <c r="Q49" s="239">
        <f t="shared" si="6"/>
        <v>0</v>
      </c>
      <c r="R49" s="240">
        <f t="shared" si="11"/>
        <v>0</v>
      </c>
      <c r="S49" s="241">
        <f t="shared" si="12"/>
        <v>0</v>
      </c>
      <c r="T49" s="269"/>
      <c r="U49" s="239" t="s">
        <v>150</v>
      </c>
      <c r="V49" s="243" t="str">
        <f t="shared" si="3"/>
        <v>nee</v>
      </c>
      <c r="W49" s="244">
        <f t="shared" si="7"/>
        <v>0.442</v>
      </c>
      <c r="X49" s="245">
        <f t="shared" si="8"/>
        <v>0</v>
      </c>
      <c r="Y49" s="245" t="str">
        <f t="shared" si="9"/>
        <v/>
      </c>
    </row>
    <row r="50" spans="1:25" ht="15" customHeight="1" x14ac:dyDescent="0.25">
      <c r="A50" s="236" t="str">
        <f>IF(B50&lt;&gt;"&lt;Selecteer&gt;",MAX($A$4:A49)+1,"")</f>
        <v/>
      </c>
      <c r="B50" s="315" t="s">
        <v>35</v>
      </c>
      <c r="C50" s="316"/>
      <c r="D50" s="317"/>
      <c r="E50" s="318"/>
      <c r="F50" s="319"/>
      <c r="G50" s="319"/>
      <c r="H50" s="239">
        <f t="shared" si="4"/>
        <v>0</v>
      </c>
      <c r="I50" s="240">
        <f t="shared" si="5"/>
        <v>0</v>
      </c>
      <c r="J50" s="241">
        <f t="shared" si="10"/>
        <v>0</v>
      </c>
      <c r="K50" s="269"/>
      <c r="L50" s="242"/>
      <c r="M50" s="238"/>
      <c r="N50" s="237"/>
      <c r="O50" s="238"/>
      <c r="P50" s="238"/>
      <c r="Q50" s="239">
        <f t="shared" si="6"/>
        <v>0</v>
      </c>
      <c r="R50" s="240">
        <f t="shared" si="11"/>
        <v>0</v>
      </c>
      <c r="S50" s="241">
        <f t="shared" si="12"/>
        <v>0</v>
      </c>
      <c r="T50" s="269"/>
      <c r="U50" s="239" t="s">
        <v>150</v>
      </c>
      <c r="V50" s="243" t="str">
        <f t="shared" si="3"/>
        <v>nee</v>
      </c>
      <c r="W50" s="244">
        <f t="shared" si="7"/>
        <v>0.442</v>
      </c>
      <c r="X50" s="245">
        <f t="shared" si="8"/>
        <v>0</v>
      </c>
      <c r="Y50" s="245" t="str">
        <f t="shared" si="9"/>
        <v/>
      </c>
    </row>
    <row r="51" spans="1:25" ht="15" customHeight="1" x14ac:dyDescent="0.25">
      <c r="A51" s="236" t="str">
        <f>IF(B51&lt;&gt;"&lt;Selecteer&gt;",MAX($A$4:A50)+1,"")</f>
        <v/>
      </c>
      <c r="B51" s="315" t="s">
        <v>35</v>
      </c>
      <c r="C51" s="316"/>
      <c r="D51" s="317"/>
      <c r="E51" s="318"/>
      <c r="F51" s="319"/>
      <c r="G51" s="319"/>
      <c r="H51" s="239">
        <f t="shared" si="4"/>
        <v>0</v>
      </c>
      <c r="I51" s="240">
        <f t="shared" si="5"/>
        <v>0</v>
      </c>
      <c r="J51" s="241">
        <f t="shared" si="10"/>
        <v>0</v>
      </c>
      <c r="K51" s="269"/>
      <c r="L51" s="242"/>
      <c r="M51" s="238"/>
      <c r="N51" s="237"/>
      <c r="O51" s="238"/>
      <c r="P51" s="238"/>
      <c r="Q51" s="239">
        <f t="shared" si="6"/>
        <v>0</v>
      </c>
      <c r="R51" s="240">
        <f t="shared" si="11"/>
        <v>0</v>
      </c>
      <c r="S51" s="241">
        <f t="shared" si="12"/>
        <v>0</v>
      </c>
      <c r="T51" s="269"/>
      <c r="U51" s="239" t="s">
        <v>150</v>
      </c>
      <c r="V51" s="243" t="str">
        <f t="shared" si="3"/>
        <v>nee</v>
      </c>
      <c r="W51" s="244">
        <f t="shared" si="7"/>
        <v>0.442</v>
      </c>
      <c r="X51" s="245">
        <f t="shared" si="8"/>
        <v>0</v>
      </c>
      <c r="Y51" s="245" t="str">
        <f t="shared" si="9"/>
        <v/>
      </c>
    </row>
    <row r="52" spans="1:25" ht="15" customHeight="1" x14ac:dyDescent="0.25">
      <c r="A52" s="236" t="str">
        <f>IF(B52&lt;&gt;"&lt;Selecteer&gt;",MAX($A$4:A51)+1,"")</f>
        <v/>
      </c>
      <c r="B52" s="315" t="s">
        <v>35</v>
      </c>
      <c r="C52" s="316"/>
      <c r="D52" s="317"/>
      <c r="E52" s="318"/>
      <c r="F52" s="319"/>
      <c r="G52" s="319"/>
      <c r="H52" s="239">
        <f t="shared" si="4"/>
        <v>0</v>
      </c>
      <c r="I52" s="240">
        <f t="shared" si="5"/>
        <v>0</v>
      </c>
      <c r="J52" s="241">
        <f t="shared" si="10"/>
        <v>0</v>
      </c>
      <c r="K52" s="269"/>
      <c r="L52" s="242"/>
      <c r="M52" s="238"/>
      <c r="N52" s="237"/>
      <c r="O52" s="238"/>
      <c r="P52" s="238"/>
      <c r="Q52" s="239">
        <f t="shared" si="6"/>
        <v>0</v>
      </c>
      <c r="R52" s="240">
        <f t="shared" si="11"/>
        <v>0</v>
      </c>
      <c r="S52" s="241">
        <f t="shared" si="12"/>
        <v>0</v>
      </c>
      <c r="T52" s="269"/>
      <c r="U52" s="239" t="s">
        <v>150</v>
      </c>
      <c r="V52" s="243" t="str">
        <f t="shared" si="3"/>
        <v>nee</v>
      </c>
      <c r="W52" s="244">
        <f t="shared" si="7"/>
        <v>0.442</v>
      </c>
      <c r="X52" s="245">
        <f t="shared" si="8"/>
        <v>0</v>
      </c>
      <c r="Y52" s="245" t="str">
        <f t="shared" si="9"/>
        <v/>
      </c>
    </row>
    <row r="53" spans="1:25" ht="15" customHeight="1" x14ac:dyDescent="0.25">
      <c r="A53" s="236" t="str">
        <f>IF(B53&lt;&gt;"&lt;Selecteer&gt;",MAX($A$4:A52)+1,"")</f>
        <v/>
      </c>
      <c r="B53" s="315" t="s">
        <v>35</v>
      </c>
      <c r="C53" s="316"/>
      <c r="D53" s="317"/>
      <c r="E53" s="318"/>
      <c r="F53" s="319"/>
      <c r="G53" s="319"/>
      <c r="H53" s="239">
        <f t="shared" si="4"/>
        <v>0</v>
      </c>
      <c r="I53" s="240">
        <f t="shared" si="5"/>
        <v>0</v>
      </c>
      <c r="J53" s="241">
        <f t="shared" si="10"/>
        <v>0</v>
      </c>
      <c r="K53" s="269"/>
      <c r="L53" s="242"/>
      <c r="M53" s="238"/>
      <c r="N53" s="237"/>
      <c r="O53" s="238"/>
      <c r="P53" s="238"/>
      <c r="Q53" s="239">
        <f t="shared" si="6"/>
        <v>0</v>
      </c>
      <c r="R53" s="240">
        <f t="shared" si="11"/>
        <v>0</v>
      </c>
      <c r="S53" s="241">
        <f t="shared" si="12"/>
        <v>0</v>
      </c>
      <c r="T53" s="269"/>
      <c r="U53" s="239" t="s">
        <v>150</v>
      </c>
      <c r="V53" s="243" t="str">
        <f t="shared" si="3"/>
        <v>nee</v>
      </c>
      <c r="W53" s="244">
        <f t="shared" si="7"/>
        <v>0.442</v>
      </c>
      <c r="X53" s="245">
        <f t="shared" si="8"/>
        <v>0</v>
      </c>
      <c r="Y53" s="245" t="str">
        <f t="shared" si="9"/>
        <v/>
      </c>
    </row>
    <row r="54" spans="1:25" ht="15" customHeight="1" x14ac:dyDescent="0.25">
      <c r="A54" s="236" t="str">
        <f>IF(B54&lt;&gt;"&lt;Selecteer&gt;",MAX($A$4:A53)+1,"")</f>
        <v/>
      </c>
      <c r="B54" s="315" t="s">
        <v>35</v>
      </c>
      <c r="C54" s="316"/>
      <c r="D54" s="317"/>
      <c r="E54" s="318"/>
      <c r="F54" s="319"/>
      <c r="G54" s="319"/>
      <c r="H54" s="239">
        <f t="shared" si="4"/>
        <v>0</v>
      </c>
      <c r="I54" s="240">
        <f t="shared" si="5"/>
        <v>0</v>
      </c>
      <c r="J54" s="241">
        <f t="shared" si="10"/>
        <v>0</v>
      </c>
      <c r="K54" s="269"/>
      <c r="L54" s="242"/>
      <c r="M54" s="238"/>
      <c r="N54" s="237"/>
      <c r="O54" s="238"/>
      <c r="P54" s="238"/>
      <c r="Q54" s="239">
        <f t="shared" si="6"/>
        <v>0</v>
      </c>
      <c r="R54" s="240">
        <f t="shared" si="11"/>
        <v>0</v>
      </c>
      <c r="S54" s="241">
        <f t="shared" si="12"/>
        <v>0</v>
      </c>
      <c r="T54" s="269"/>
      <c r="U54" s="239" t="s">
        <v>150</v>
      </c>
      <c r="V54" s="243" t="str">
        <f t="shared" si="3"/>
        <v>nee</v>
      </c>
      <c r="W54" s="244">
        <f t="shared" si="7"/>
        <v>0.442</v>
      </c>
      <c r="X54" s="245">
        <f t="shared" si="8"/>
        <v>0</v>
      </c>
      <c r="Y54" s="245" t="str">
        <f t="shared" si="9"/>
        <v/>
      </c>
    </row>
    <row r="55" spans="1:25" ht="15" customHeight="1" x14ac:dyDescent="0.25">
      <c r="U55" s="271"/>
    </row>
    <row r="57" spans="1:25" ht="15" customHeight="1" x14ac:dyDescent="0.25">
      <c r="W57" s="171"/>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39" priority="11">
      <formula>OR($B5="Ja",$B5="Nee")</formula>
    </cfRule>
  </conditionalFormatting>
  <conditionalFormatting sqref="C5:C54 K5:K54 T5:T54">
    <cfRule type="expression" dxfId="38" priority="3">
      <formula>OR($B5="Ja",$B5="Nee")</formula>
    </cfRule>
  </conditionalFormatting>
  <conditionalFormatting sqref="C5:Y54">
    <cfRule type="expression" dxfId="37" priority="1" stopIfTrue="1">
      <formula>$B5="&lt;Selecteer&gt;"</formula>
    </cfRule>
  </conditionalFormatting>
  <conditionalFormatting sqref="D5:D54">
    <cfRule type="expression" dxfId="36" priority="7">
      <formula>$B5="Ja"</formula>
    </cfRule>
  </conditionalFormatting>
  <conditionalFormatting sqref="E5:G54">
    <cfRule type="expression" dxfId="35" priority="10">
      <formula>$B5="Nee"</formula>
    </cfRule>
  </conditionalFormatting>
  <conditionalFormatting sqref="H5:K54">
    <cfRule type="expression" dxfId="34" priority="4">
      <formula>$B5="Nee"</formula>
    </cfRule>
  </conditionalFormatting>
  <conditionalFormatting sqref="L5:L54">
    <cfRule type="cellIs" dxfId="33" priority="2" stopIfTrue="1" operator="equal">
      <formula>"JA"</formula>
    </cfRule>
    <cfRule type="cellIs" dxfId="32" priority="12" stopIfTrue="1" operator="equal">
      <formula>"NEE"</formula>
    </cfRule>
    <cfRule type="cellIs" dxfId="31" priority="13" stopIfTrue="1" operator="equal">
      <formula>""</formula>
    </cfRule>
  </conditionalFormatting>
  <conditionalFormatting sqref="M5:M54">
    <cfRule type="expression" dxfId="30" priority="9">
      <formula>AND($B5="Ja",$L5="NEE")</formula>
    </cfRule>
  </conditionalFormatting>
  <conditionalFormatting sqref="N5:P54">
    <cfRule type="expression" dxfId="29" priority="5">
      <formula>AND($B5="Nee",$L5="NEE")</formula>
    </cfRule>
  </conditionalFormatting>
  <conditionalFormatting sqref="Q5:T54">
    <cfRule type="expression" dxfId="28" priority="8">
      <formula>AND($B5="Nee",$L5="NEE")</formula>
    </cfRule>
  </conditionalFormatting>
  <conditionalFormatting sqref="U5:W54">
    <cfRule type="expression" dxfId="27" priority="14">
      <formula>$B5="Nee"</formula>
    </cfRule>
  </conditionalFormatting>
  <conditionalFormatting sqref="X5:Y54">
    <cfRule type="expression" dxfId="26"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&amp;L&amp;F  &amp;A&amp;R&amp;P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sheetView>
  </sheetViews>
  <sheetFormatPr defaultColWidth="9.140625" defaultRowHeight="15" customHeight="1" x14ac:dyDescent="0.25"/>
  <cols>
    <col min="1" max="1" width="8" style="37" bestFit="1" customWidth="1"/>
    <col min="2" max="2" width="10.5703125" style="40" bestFit="1" customWidth="1"/>
    <col min="3" max="3" width="23.85546875" style="37" customWidth="1"/>
    <col min="4" max="4" width="44.140625" style="37" customWidth="1"/>
    <col min="5" max="5" width="36.5703125" style="37" bestFit="1" customWidth="1"/>
    <col min="6" max="6" width="29.85546875" style="37" customWidth="1"/>
    <col min="7" max="7" width="28.85546875" style="37" bestFit="1" customWidth="1"/>
    <col min="8" max="8" width="27.7109375" style="40" customWidth="1"/>
    <col min="9" max="9" width="15.7109375" style="40" bestFit="1" customWidth="1"/>
    <col min="10" max="10" width="14" style="40" customWidth="1"/>
    <col min="11" max="11" width="16.7109375" style="40" customWidth="1"/>
    <col min="12" max="12" width="14" style="40" customWidth="1"/>
    <col min="13" max="13" width="11.140625" style="40" customWidth="1"/>
    <col min="14" max="14" width="11" style="40" customWidth="1"/>
    <col min="15" max="15" width="12.42578125" style="40" bestFit="1" customWidth="1"/>
    <col min="16" max="16" width="11.42578125" style="37" hidden="1" customWidth="1"/>
    <col min="17" max="17" width="12.42578125" style="37" bestFit="1" customWidth="1"/>
    <col min="18" max="18" width="11.42578125" style="37" hidden="1" customWidth="1"/>
    <col min="19" max="19" width="12.42578125" style="37" bestFit="1" customWidth="1"/>
    <col min="20" max="20" width="12.140625" style="37" hidden="1" customWidth="1"/>
    <col min="21" max="21" width="12.42578125" style="37" bestFit="1" customWidth="1"/>
    <col min="22" max="22" width="12.140625" style="37" hidden="1" customWidth="1"/>
    <col min="23" max="23" width="13.140625" style="37" bestFit="1" customWidth="1"/>
    <col min="24" max="24" width="13.140625" style="37" hidden="1" customWidth="1"/>
    <col min="25" max="25" width="58.42578125" style="37" customWidth="1"/>
    <col min="26" max="26" width="58.42578125" style="37" hidden="1" customWidth="1"/>
    <col min="27" max="27" width="4.85546875" style="37" hidden="1" customWidth="1"/>
    <col min="28" max="28" width="14.5703125" style="37" bestFit="1" customWidth="1"/>
    <col min="29" max="29" width="30.5703125" style="37" bestFit="1" customWidth="1"/>
    <col min="30" max="30" width="14.5703125" style="37" bestFit="1" customWidth="1"/>
    <col min="31" max="31" width="27.7109375" style="37" bestFit="1" customWidth="1"/>
    <col min="32" max="32" width="22" style="37" bestFit="1" customWidth="1"/>
    <col min="33" max="33" width="12.85546875" style="37" bestFit="1" customWidth="1"/>
    <col min="34" max="34" width="26.85546875" style="37" bestFit="1" customWidth="1"/>
    <col min="35" max="35" width="31" style="37" bestFit="1" customWidth="1"/>
    <col min="36" max="36" width="19.140625" style="37" bestFit="1" customWidth="1"/>
    <col min="37" max="37" width="9.28515625" style="37" customWidth="1"/>
    <col min="38" max="16384" width="9.140625" style="37"/>
  </cols>
  <sheetData>
    <row r="1" spans="1:27" ht="48" customHeight="1" x14ac:dyDescent="0.25">
      <c r="A1" s="88" t="s">
        <v>168</v>
      </c>
      <c r="B1" s="88" t="s">
        <v>100</v>
      </c>
      <c r="C1" s="86" t="s">
        <v>62</v>
      </c>
      <c r="D1" s="86" t="s">
        <v>2</v>
      </c>
      <c r="E1" s="86" t="s">
        <v>166</v>
      </c>
      <c r="F1" s="86" t="s">
        <v>0</v>
      </c>
      <c r="G1" s="86" t="s">
        <v>219</v>
      </c>
      <c r="H1" s="87" t="s">
        <v>130</v>
      </c>
      <c r="I1" s="87" t="s">
        <v>122</v>
      </c>
      <c r="J1" s="88" t="s">
        <v>123</v>
      </c>
      <c r="K1" s="88" t="s">
        <v>119</v>
      </c>
      <c r="L1" s="88" t="s">
        <v>120</v>
      </c>
      <c r="M1" s="88" t="s">
        <v>121</v>
      </c>
      <c r="N1" s="88" t="s">
        <v>42</v>
      </c>
      <c r="O1" s="87" t="s">
        <v>125</v>
      </c>
      <c r="P1" s="87" t="s">
        <v>101</v>
      </c>
      <c r="Q1" s="87" t="s">
        <v>126</v>
      </c>
      <c r="R1" s="87" t="s">
        <v>102</v>
      </c>
      <c r="S1" s="87" t="s">
        <v>127</v>
      </c>
      <c r="T1" s="87" t="s">
        <v>103</v>
      </c>
      <c r="U1" s="87" t="s">
        <v>128</v>
      </c>
      <c r="V1" s="87" t="s">
        <v>117</v>
      </c>
      <c r="W1" s="198" t="s">
        <v>227</v>
      </c>
      <c r="X1" s="198" t="s">
        <v>228</v>
      </c>
      <c r="Y1" s="198" t="s">
        <v>233</v>
      </c>
      <c r="Z1" s="198" t="s">
        <v>66</v>
      </c>
      <c r="AA1" s="198" t="s">
        <v>261</v>
      </c>
    </row>
    <row r="2" spans="1:27" ht="15" customHeight="1" x14ac:dyDescent="0.25">
      <c r="A2" s="85"/>
      <c r="B2" s="217" t="str">
        <f>IF(A2&lt;&gt;"",_xlfn.MAXIFS($B$1:B1,$A$1:A1,A2)+1,"")</f>
        <v/>
      </c>
      <c r="C2" s="50"/>
      <c r="D2" s="50"/>
      <c r="E2" s="50"/>
      <c r="F2" s="50"/>
      <c r="G2" s="280"/>
      <c r="H2" s="293"/>
      <c r="I2" s="292"/>
      <c r="J2" s="292"/>
      <c r="K2" s="200"/>
      <c r="L2" s="200"/>
      <c r="M2" s="89" t="str">
        <f>IFERROR(VLOOKUP(H2,Lijsten!$H$1:$I$100,2,0),"")</f>
        <v/>
      </c>
      <c r="N2" s="89" t="str" cm="1">
        <f t="array" ref="N2">IFERROR(_xlfn.IFS(AND(LEFT(F2,6)="Arbeid",RIGHT(F2,3)&lt;&gt;"IKS"),IFERROR(VLOOKUP($G2,Tb_KostenTypen[],2,0),"tarief"),RIGHT(F2,3)="IKS","Uurtarief",LEFT(F2,6)="Arbeid","Uurtarief",AND(LEFT(F2,8)="Bijdrage",RIGHT(F2,15)="(vrijwilligers)"),"Vast tarief"),"")</f>
        <v/>
      </c>
      <c r="O2" s="90"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0"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1"/>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59"/>
      <c r="Z2" s="49"/>
      <c r="AA2" s="37" t="str" cm="1">
        <f t="array" ref="AA2">IFERROR(IF(INDEX(SubsidieTabel!$Q$1:$T$9,MATCH($F2,SubsidieTabel!$Q$1:$Q$9,0),IFERROR(MATCH(Methode_Keuze,SubsidieTabel!$Q$1:$T$1,0),2))&lt;&gt;1=TRUE,"ja",""),"")</f>
        <v/>
      </c>
    </row>
    <row r="3" spans="1:27" ht="15" customHeight="1" x14ac:dyDescent="0.25">
      <c r="A3" s="85"/>
      <c r="B3" s="217" t="str">
        <f>IF(A3&lt;&gt;"",_xlfn.MAXIFS($B$1:B2,$A$1:A2,A3)+1,"")</f>
        <v/>
      </c>
      <c r="C3" s="50"/>
      <c r="D3" s="50" t="s">
        <v>211</v>
      </c>
      <c r="E3" s="50"/>
      <c r="F3" s="50"/>
      <c r="G3" s="280"/>
      <c r="H3" s="293"/>
      <c r="I3" s="292"/>
      <c r="J3" s="292"/>
      <c r="K3" s="200"/>
      <c r="L3" s="200"/>
      <c r="M3" s="89" t="str">
        <f>IFERROR(VLOOKUP(H3,Lijsten!$H$1:$I$100,2,0),"")</f>
        <v/>
      </c>
      <c r="N3" s="89" t="str" cm="1">
        <f t="array" ref="N3">IFERROR(_xlfn.IFS(AND(LEFT(F3,6)="Arbeid",RIGHT(F3,3)&lt;&gt;"IKS"),IFERROR(VLOOKUP($G3,Tb_KostenTypen[],2,0),"tarief"),RIGHT(F3,3)="IKS","Uurtarief",LEFT(F3,6)="Arbeid","Uurtarief",AND(LEFT(F3,8)="Bijdrage",RIGHT(F3,15)="(vrijwilligers)"),"Vast tarief"),"")</f>
        <v/>
      </c>
      <c r="O3" s="90"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0"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1"/>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59"/>
      <c r="Z3" s="49"/>
      <c r="AA3" s="37" t="str" cm="1">
        <f t="array" ref="AA3">IFERROR(IF(INDEX(SubsidieTabel!$Q$1:$T$9,MATCH($F3,SubsidieTabel!$Q$1:$Q$9,0),IFERROR(MATCH(Methode_Keuze,SubsidieTabel!$Q$1:$T$1,0),2))&lt;&gt;1=TRUE,"ja",""),"")</f>
        <v/>
      </c>
    </row>
    <row r="4" spans="1:27" ht="15" customHeight="1" x14ac:dyDescent="0.25">
      <c r="A4" s="85"/>
      <c r="B4" s="217" t="str">
        <f>IF(A4&lt;&gt;"",_xlfn.MAXIFS($B$1:B3,$A$1:A3,A4)+1,"")</f>
        <v/>
      </c>
      <c r="C4" s="50"/>
      <c r="D4" s="50"/>
      <c r="E4" s="50"/>
      <c r="F4" s="50"/>
      <c r="G4" s="280"/>
      <c r="H4" s="293"/>
      <c r="I4" s="292"/>
      <c r="J4" s="292"/>
      <c r="K4" s="200"/>
      <c r="L4" s="200"/>
      <c r="M4" s="89" t="str">
        <f>IFERROR(VLOOKUP(H4,Lijsten!$H$1:$I$100,2,0),"")</f>
        <v/>
      </c>
      <c r="N4" s="89" t="str" cm="1">
        <f t="array" ref="N4">IFERROR(_xlfn.IFS(AND(LEFT(F4,6)="Arbeid",RIGHT(F4,3)&lt;&gt;"IKS"),IFERROR(VLOOKUP($G4,Tb_KostenTypen[],2,0),"tarief"),RIGHT(F4,3)="IKS","Uurtarief",LEFT(F4,6)="Arbeid","Uurtarief",AND(LEFT(F4,8)="Bijdrage",RIGHT(F4,15)="(vrijwilligers)"),"Vast tarief"),"")</f>
        <v/>
      </c>
      <c r="O4" s="90"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0"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1"/>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59"/>
      <c r="Z4" s="49"/>
      <c r="AA4" s="37" t="str" cm="1">
        <f t="array" ref="AA4">IFERROR(IF(INDEX(SubsidieTabel!$Q$1:$T$9,MATCH($F4,SubsidieTabel!$Q$1:$Q$9,0),IFERROR(MATCH(Methode_Keuze,SubsidieTabel!$Q$1:$T$1,0),2))&lt;&gt;1=TRUE,"ja",""),"")</f>
        <v/>
      </c>
    </row>
    <row r="5" spans="1:27" ht="15" customHeight="1" x14ac:dyDescent="0.25">
      <c r="A5" s="85"/>
      <c r="B5" s="217" t="str">
        <f>IF(A5&lt;&gt;"",_xlfn.MAXIFS($B$1:B4,$A$1:A4,A5)+1,"")</f>
        <v/>
      </c>
      <c r="C5" s="50"/>
      <c r="D5" s="50"/>
      <c r="E5" s="50"/>
      <c r="F5" s="50"/>
      <c r="G5" s="280"/>
      <c r="H5" s="293"/>
      <c r="I5" s="292"/>
      <c r="J5" s="292"/>
      <c r="K5" s="200"/>
      <c r="L5" s="200"/>
      <c r="M5" s="89" t="str">
        <f>IFERROR(VLOOKUP(H5,Lijsten!$H$1:$I$100,2,0),"")</f>
        <v/>
      </c>
      <c r="N5" s="89" t="str" cm="1">
        <f t="array" ref="N5">IFERROR(_xlfn.IFS(AND(LEFT(F5,6)="Arbeid",RIGHT(F5,3)&lt;&gt;"IKS"),IFERROR(VLOOKUP($G5,Tb_KostenTypen[],2,0),"tarief"),RIGHT(F5,3)="IKS","Uurtarief",LEFT(F5,6)="Arbeid","Uurtarief",AND(LEFT(F5,8)="Bijdrage",RIGHT(F5,15)="(vrijwilligers)"),"Vast tarief"),"")</f>
        <v/>
      </c>
      <c r="O5" s="90"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0"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1"/>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59"/>
      <c r="Z5" s="49"/>
      <c r="AA5" s="37" t="str" cm="1">
        <f t="array" ref="AA5">IFERROR(IF(INDEX(SubsidieTabel!$Q$1:$T$9,MATCH($F5,SubsidieTabel!$Q$1:$Q$9,0),IFERROR(MATCH(Methode_Keuze,SubsidieTabel!$Q$1:$T$1,0),2))&lt;&gt;1=TRUE,"ja",""),"")</f>
        <v/>
      </c>
    </row>
    <row r="6" spans="1:27" ht="15" customHeight="1" x14ac:dyDescent="0.25">
      <c r="A6" s="85"/>
      <c r="B6" s="217" t="str">
        <f>IF(A6&lt;&gt;"",_xlfn.MAXIFS($B$1:B5,$A$1:A5,A6)+1,"")</f>
        <v/>
      </c>
      <c r="C6" s="50"/>
      <c r="D6" s="50"/>
      <c r="E6" s="50"/>
      <c r="F6" s="50"/>
      <c r="G6" s="280"/>
      <c r="H6" s="293"/>
      <c r="I6" s="292"/>
      <c r="J6" s="292"/>
      <c r="K6" s="200"/>
      <c r="L6" s="200"/>
      <c r="M6" s="89" t="str">
        <f>IFERROR(VLOOKUP(H6,Lijsten!$H$1:$I$100,2,0),"")</f>
        <v/>
      </c>
      <c r="N6" s="89" t="str" cm="1">
        <f t="array" ref="N6">IFERROR(_xlfn.IFS(AND(LEFT(F6,6)="Arbeid",RIGHT(F6,3)&lt;&gt;"IKS"),IFERROR(VLOOKUP($G6,Tb_KostenTypen[],2,0),"tarief"),RIGHT(F6,3)="IKS","Uurtarief",LEFT(F6,6)="Arbeid","Uurtarief",AND(LEFT(F6,8)="Bijdrage",RIGHT(F6,15)="(vrijwilligers)"),"Vast tarief"),"")</f>
        <v/>
      </c>
      <c r="O6" s="90"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0"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1"/>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59"/>
      <c r="Z6" s="49"/>
      <c r="AA6" s="37" t="str" cm="1">
        <f t="array" ref="AA6">IFERROR(IF(INDEX(SubsidieTabel!$Q$1:$T$9,MATCH($F6,SubsidieTabel!$Q$1:$Q$9,0),IFERROR(MATCH(Methode_Keuze,SubsidieTabel!$Q$1:$T$1,0),2))&lt;&gt;1=TRUE,"ja",""),"")</f>
        <v/>
      </c>
    </row>
    <row r="7" spans="1:27" ht="15" customHeight="1" x14ac:dyDescent="0.25">
      <c r="A7" s="85"/>
      <c r="B7" s="217" t="str">
        <f>IF(A7&lt;&gt;"",_xlfn.MAXIFS($B$1:B6,$A$1:A6,A7)+1,"")</f>
        <v/>
      </c>
      <c r="C7" s="50"/>
      <c r="D7" s="50"/>
      <c r="E7" s="50"/>
      <c r="F7" s="50"/>
      <c r="G7" s="280"/>
      <c r="H7" s="293"/>
      <c r="I7" s="292"/>
      <c r="J7" s="292"/>
      <c r="K7" s="200"/>
      <c r="L7" s="200"/>
      <c r="M7" s="89" t="str">
        <f>IFERROR(VLOOKUP(H7,Lijsten!$H$1:$I$100,2,0),"")</f>
        <v/>
      </c>
      <c r="N7" s="89" t="str" cm="1">
        <f t="array" ref="N7">IFERROR(_xlfn.IFS(AND(LEFT(F7,6)="Arbeid",RIGHT(F7,3)&lt;&gt;"IKS"),IFERROR(VLOOKUP($G7,Tb_KostenTypen[],2,0),"tarief"),RIGHT(F7,3)="IKS","Uurtarief",LEFT(F7,6)="Arbeid","Uurtarief",AND(LEFT(F7,8)="Bijdrage",RIGHT(F7,15)="(vrijwilligers)"),"Vast tarief"),"")</f>
        <v/>
      </c>
      <c r="O7" s="90"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0"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1"/>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59"/>
      <c r="Z7" s="49"/>
      <c r="AA7" s="37" t="str" cm="1">
        <f t="array" ref="AA7">IFERROR(IF(INDEX(SubsidieTabel!$Q$1:$T$9,MATCH($F7,SubsidieTabel!$Q$1:$Q$9,0),IFERROR(MATCH(Methode_Keuze,SubsidieTabel!$Q$1:$T$1,0),2))&lt;&gt;1=TRUE,"ja",""),"")</f>
        <v/>
      </c>
    </row>
    <row r="8" spans="1:27" ht="15" customHeight="1" x14ac:dyDescent="0.25">
      <c r="A8" s="85"/>
      <c r="B8" s="217" t="str">
        <f>IF(A8&lt;&gt;"",_xlfn.MAXIFS($B$1:B7,$A$1:A7,A8)+1,"")</f>
        <v/>
      </c>
      <c r="C8" s="50"/>
      <c r="D8" s="50"/>
      <c r="E8" s="50"/>
      <c r="F8" s="50"/>
      <c r="G8" s="280"/>
      <c r="H8" s="293"/>
      <c r="I8" s="292"/>
      <c r="J8" s="292"/>
      <c r="K8" s="200"/>
      <c r="L8" s="200"/>
      <c r="M8" s="89" t="str">
        <f>IFERROR(VLOOKUP(H8,Lijsten!$H$1:$I$100,2,0),"")</f>
        <v/>
      </c>
      <c r="N8" s="89" t="str" cm="1">
        <f t="array" ref="N8">IFERROR(_xlfn.IFS(AND(LEFT(F8,6)="Arbeid",RIGHT(F8,3)&lt;&gt;"IKS"),IFERROR(VLOOKUP($G8,Tb_KostenTypen[],2,0),"tarief"),RIGHT(F8,3)="IKS","Uurtarief",LEFT(F8,6)="Arbeid","Uurtarief",AND(LEFT(F8,8)="Bijdrage",RIGHT(F8,15)="(vrijwilligers)"),"Vast tarief"),"")</f>
        <v/>
      </c>
      <c r="O8" s="90"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0"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1"/>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59"/>
      <c r="Z8" s="49"/>
      <c r="AA8" s="37" t="str" cm="1">
        <f t="array" ref="AA8">IFERROR(IF(INDEX(SubsidieTabel!$Q$1:$T$9,MATCH($F8,SubsidieTabel!$Q$1:$Q$9,0),IFERROR(MATCH(Methode_Keuze,SubsidieTabel!$Q$1:$T$1,0),2))&lt;&gt;1=TRUE,"ja",""),"")</f>
        <v/>
      </c>
    </row>
    <row r="9" spans="1:27" ht="15" customHeight="1" x14ac:dyDescent="0.25">
      <c r="A9" s="85"/>
      <c r="B9" s="217" t="str">
        <f>IF(A9&lt;&gt;"",_xlfn.MAXIFS($B$1:B8,$A$1:A8,A9)+1,"")</f>
        <v/>
      </c>
      <c r="C9" s="50"/>
      <c r="D9" s="50"/>
      <c r="E9" s="50"/>
      <c r="F9" s="50"/>
      <c r="G9" s="280"/>
      <c r="H9" s="293"/>
      <c r="I9" s="292"/>
      <c r="J9" s="292"/>
      <c r="K9" s="200"/>
      <c r="L9" s="200"/>
      <c r="M9" s="89" t="str">
        <f>IFERROR(VLOOKUP(H9,Lijsten!$H$1:$I$100,2,0),"")</f>
        <v/>
      </c>
      <c r="N9" s="89" t="str" cm="1">
        <f t="array" ref="N9">IFERROR(_xlfn.IFS(AND(LEFT(F9,6)="Arbeid",RIGHT(F9,3)&lt;&gt;"IKS"),IFERROR(VLOOKUP($G9,Tb_KostenTypen[],2,0),"tarief"),RIGHT(F9,3)="IKS","Uurtarief",LEFT(F9,6)="Arbeid","Uurtarief",AND(LEFT(F9,8)="Bijdrage",RIGHT(F9,15)="(vrijwilligers)"),"Vast tarief"),"")</f>
        <v/>
      </c>
      <c r="O9" s="90"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0"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1"/>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59"/>
      <c r="Z9" s="49"/>
      <c r="AA9" s="37" t="str" cm="1">
        <f t="array" ref="AA9">IFERROR(IF(INDEX(SubsidieTabel!$Q$1:$T$9,MATCH($F9,SubsidieTabel!$Q$1:$Q$9,0),IFERROR(MATCH(Methode_Keuze,SubsidieTabel!$Q$1:$T$1,0),2))&lt;&gt;1=TRUE,"ja",""),"")</f>
        <v/>
      </c>
    </row>
    <row r="10" spans="1:27" ht="15" customHeight="1" x14ac:dyDescent="0.25">
      <c r="A10" s="85"/>
      <c r="B10" s="217" t="str">
        <f>IF(A10&lt;&gt;"",_xlfn.MAXIFS($B$1:B9,$A$1:A9,A10)+1,"")</f>
        <v/>
      </c>
      <c r="C10" s="50"/>
      <c r="D10" s="50"/>
      <c r="E10" s="50"/>
      <c r="F10" s="50"/>
      <c r="G10" s="280"/>
      <c r="H10" s="293"/>
      <c r="I10" s="292"/>
      <c r="J10" s="292"/>
      <c r="K10" s="200"/>
      <c r="L10" s="200"/>
      <c r="M10" s="89" t="str">
        <f>IFERROR(VLOOKUP(H10,Lijsten!$H$1:$I$100,2,0),"")</f>
        <v/>
      </c>
      <c r="N10" s="89" t="str" cm="1">
        <f t="array" ref="N10">IFERROR(_xlfn.IFS(AND(LEFT(F10,6)="Arbeid",RIGHT(F10,3)&lt;&gt;"IKS"),IFERROR(VLOOKUP($G10,Tb_KostenTypen[],2,0),"tarief"),RIGHT(F10,3)="IKS","Uurtarief",LEFT(F10,6)="Arbeid","Uurtarief",AND(LEFT(F10,8)="Bijdrage",RIGHT(F10,15)="(vrijwilligers)"),"Vast tarief"),"")</f>
        <v/>
      </c>
      <c r="O10" s="90"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0"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1"/>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59"/>
      <c r="Z10" s="49"/>
      <c r="AA10" s="37" t="str" cm="1">
        <f t="array" ref="AA10">IFERROR(IF(INDEX(SubsidieTabel!$Q$1:$T$9,MATCH($F10,SubsidieTabel!$Q$1:$Q$9,0),IFERROR(MATCH(Methode_Keuze,SubsidieTabel!$Q$1:$T$1,0),2))&lt;&gt;1=TRUE,"ja",""),"")</f>
        <v/>
      </c>
    </row>
    <row r="11" spans="1:27" ht="15" customHeight="1" x14ac:dyDescent="0.25">
      <c r="A11" s="85"/>
      <c r="B11" s="217" t="str">
        <f>IF(A11&lt;&gt;"",_xlfn.MAXIFS($B$1:B10,$A$1:A10,A11)+1,"")</f>
        <v/>
      </c>
      <c r="C11" s="50"/>
      <c r="D11" s="50"/>
      <c r="E11" s="50"/>
      <c r="F11" s="50"/>
      <c r="G11" s="280"/>
      <c r="H11" s="293"/>
      <c r="I11" s="292"/>
      <c r="J11" s="292"/>
      <c r="K11" s="200"/>
      <c r="L11" s="200"/>
      <c r="M11" s="89" t="str">
        <f>IFERROR(VLOOKUP(H11,Lijsten!$H$1:$I$100,2,0),"")</f>
        <v/>
      </c>
      <c r="N11" s="89" t="str" cm="1">
        <f t="array" ref="N11">IFERROR(_xlfn.IFS(AND(LEFT(F11,6)="Arbeid",RIGHT(F11,3)&lt;&gt;"IKS"),IFERROR(VLOOKUP($G11,Tb_KostenTypen[],2,0),"tarief"),RIGHT(F11,3)="IKS","Uurtarief",LEFT(F11,6)="Arbeid","Uurtarief",AND(LEFT(F11,8)="Bijdrage",RIGHT(F11,15)="(vrijwilligers)"),"Vast tarief"),"")</f>
        <v/>
      </c>
      <c r="O11" s="90"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0"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1"/>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59"/>
      <c r="Z11" s="49"/>
      <c r="AA11" s="37" t="str" cm="1">
        <f t="array" ref="AA11">IFERROR(IF(INDEX(SubsidieTabel!$Q$1:$T$9,MATCH($F11,SubsidieTabel!$Q$1:$Q$9,0),IFERROR(MATCH(Methode_Keuze,SubsidieTabel!$Q$1:$T$1,0),2))&lt;&gt;1=TRUE,"ja",""),"")</f>
        <v/>
      </c>
    </row>
    <row r="12" spans="1:27" ht="15" customHeight="1" x14ac:dyDescent="0.25">
      <c r="A12" s="85"/>
      <c r="B12" s="217" t="str">
        <f>IF(A12&lt;&gt;"",_xlfn.MAXIFS($B$1:B11,$A$1:A11,A12)+1,"")</f>
        <v/>
      </c>
      <c r="C12" s="50"/>
      <c r="D12" s="50"/>
      <c r="E12" s="50"/>
      <c r="F12" s="50"/>
      <c r="G12" s="280"/>
      <c r="H12" s="293"/>
      <c r="I12" s="292"/>
      <c r="J12" s="292"/>
      <c r="K12" s="200"/>
      <c r="L12" s="200"/>
      <c r="M12" s="89" t="str">
        <f>IFERROR(VLOOKUP(H12,Lijsten!$H$1:$I$100,2,0),"")</f>
        <v/>
      </c>
      <c r="N12" s="89" t="str" cm="1">
        <f t="array" ref="N12">IFERROR(_xlfn.IFS(AND(LEFT(F12,6)="Arbeid",RIGHT(F12,3)&lt;&gt;"IKS"),IFERROR(VLOOKUP($G12,Tb_KostenTypen[],2,0),"tarief"),RIGHT(F12,3)="IKS","Uurtarief",LEFT(F12,6)="Arbeid","Uurtarief",AND(LEFT(F12,8)="Bijdrage",RIGHT(F12,15)="(vrijwilligers)"),"Vast tarief"),"")</f>
        <v/>
      </c>
      <c r="O12" s="90"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0"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1"/>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59"/>
      <c r="Z12" s="49"/>
      <c r="AA12" s="37" t="str" cm="1">
        <f t="array" ref="AA12">IFERROR(IF(INDEX(SubsidieTabel!$Q$1:$T$9,MATCH($F12,SubsidieTabel!$Q$1:$Q$9,0),IFERROR(MATCH(Methode_Keuze,SubsidieTabel!$Q$1:$T$1,0),2))&lt;&gt;1=TRUE,"ja",""),"")</f>
        <v/>
      </c>
    </row>
    <row r="13" spans="1:27" ht="15" customHeight="1" x14ac:dyDescent="0.25">
      <c r="A13" s="85"/>
      <c r="B13" s="217" t="str">
        <f>IF(A13&lt;&gt;"",_xlfn.MAXIFS($B$1:B12,$A$1:A12,A13)+1,"")</f>
        <v/>
      </c>
      <c r="C13" s="50"/>
      <c r="D13" s="50"/>
      <c r="E13" s="50"/>
      <c r="F13" s="50"/>
      <c r="G13" s="280"/>
      <c r="H13" s="293"/>
      <c r="I13" s="292"/>
      <c r="J13" s="292"/>
      <c r="K13" s="200"/>
      <c r="L13" s="200"/>
      <c r="M13" s="89" t="str">
        <f>IFERROR(VLOOKUP(H13,Lijsten!$H$1:$I$100,2,0),"")</f>
        <v/>
      </c>
      <c r="N13" s="89" t="str" cm="1">
        <f t="array" ref="N13">IFERROR(_xlfn.IFS(AND(LEFT(F13,6)="Arbeid",RIGHT(F13,3)&lt;&gt;"IKS"),IFERROR(VLOOKUP($G13,Tb_KostenTypen[],2,0),"tarief"),RIGHT(F13,3)="IKS","Uurtarief",LEFT(F13,6)="Arbeid","Uurtarief",AND(LEFT(F13,8)="Bijdrage",RIGHT(F13,15)="(vrijwilligers)"),"Vast tarief"),"")</f>
        <v/>
      </c>
      <c r="O13" s="90"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0"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1"/>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59"/>
      <c r="Z13" s="49"/>
      <c r="AA13" s="37" t="str" cm="1">
        <f t="array" ref="AA13">IFERROR(IF(INDEX(SubsidieTabel!$Q$1:$T$9,MATCH($F13,SubsidieTabel!$Q$1:$Q$9,0),IFERROR(MATCH(Methode_Keuze,SubsidieTabel!$Q$1:$T$1,0),2))&lt;&gt;1=TRUE,"ja",""),"")</f>
        <v/>
      </c>
    </row>
    <row r="14" spans="1:27" ht="15" customHeight="1" x14ac:dyDescent="0.25">
      <c r="A14" s="85"/>
      <c r="B14" s="217" t="str">
        <f>IF(A14&lt;&gt;"",_xlfn.MAXIFS($B$1:B13,$A$1:A13,A14)+1,"")</f>
        <v/>
      </c>
      <c r="C14" s="50"/>
      <c r="D14" s="50"/>
      <c r="E14" s="50"/>
      <c r="F14" s="50"/>
      <c r="G14" s="280"/>
      <c r="H14" s="293"/>
      <c r="I14" s="292"/>
      <c r="J14" s="292"/>
      <c r="K14" s="200"/>
      <c r="L14" s="200"/>
      <c r="M14" s="89" t="str">
        <f>IFERROR(VLOOKUP(H14,Lijsten!$H$1:$I$100,2,0),"")</f>
        <v/>
      </c>
      <c r="N14" s="89" t="str" cm="1">
        <f t="array" ref="N14">IFERROR(_xlfn.IFS(AND(LEFT(F14,6)="Arbeid",RIGHT(F14,3)&lt;&gt;"IKS"),IFERROR(VLOOKUP($G14,Tb_KostenTypen[],2,0),"tarief"),RIGHT(F14,3)="IKS","Uurtarief",LEFT(F14,6)="Arbeid","Uurtarief",AND(LEFT(F14,8)="Bijdrage",RIGHT(F14,15)="(vrijwilligers)"),"Vast tarief"),"")</f>
        <v/>
      </c>
      <c r="O14" s="90"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0"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1"/>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59"/>
      <c r="Z14" s="49"/>
      <c r="AA14" s="37" t="str" cm="1">
        <f t="array" ref="AA14">IFERROR(IF(INDEX(SubsidieTabel!$Q$1:$T$9,MATCH($F14,SubsidieTabel!$Q$1:$Q$9,0),IFERROR(MATCH(Methode_Keuze,SubsidieTabel!$Q$1:$T$1,0),2))&lt;&gt;1=TRUE,"ja",""),"")</f>
        <v/>
      </c>
    </row>
    <row r="15" spans="1:27" ht="15" customHeight="1" x14ac:dyDescent="0.25">
      <c r="A15" s="85"/>
      <c r="B15" s="217" t="str">
        <f>IF(A15&lt;&gt;"",_xlfn.MAXIFS($B$1:B14,$A$1:A14,A15)+1,"")</f>
        <v/>
      </c>
      <c r="C15" s="50"/>
      <c r="D15" s="50"/>
      <c r="E15" s="50"/>
      <c r="F15" s="50"/>
      <c r="G15" s="280"/>
      <c r="H15" s="293"/>
      <c r="I15" s="292"/>
      <c r="J15" s="292"/>
      <c r="K15" s="200"/>
      <c r="L15" s="200"/>
      <c r="M15" s="89" t="str">
        <f>IFERROR(VLOOKUP(H15,Lijsten!$H$1:$I$100,2,0),"")</f>
        <v/>
      </c>
      <c r="N15" s="89" t="str" cm="1">
        <f t="array" ref="N15">IFERROR(_xlfn.IFS(AND(LEFT(F15,6)="Arbeid",RIGHT(F15,3)&lt;&gt;"IKS"),IFERROR(VLOOKUP($G15,Tb_KostenTypen[],2,0),"tarief"),RIGHT(F15,3)="IKS","Uurtarief",LEFT(F15,6)="Arbeid","Uurtarief",AND(LEFT(F15,8)="Bijdrage",RIGHT(F15,15)="(vrijwilligers)"),"Vast tarief"),"")</f>
        <v/>
      </c>
      <c r="O15" s="90"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0"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1"/>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59"/>
      <c r="Z15" s="49"/>
      <c r="AA15" s="37" t="str" cm="1">
        <f t="array" ref="AA15">IFERROR(IF(INDEX(SubsidieTabel!$Q$1:$T$9,MATCH($F15,SubsidieTabel!$Q$1:$Q$9,0),IFERROR(MATCH(Methode_Keuze,SubsidieTabel!$Q$1:$T$1,0),2))&lt;&gt;1=TRUE,"ja",""),"")</f>
        <v/>
      </c>
    </row>
    <row r="16" spans="1:27" ht="15" customHeight="1" x14ac:dyDescent="0.25">
      <c r="A16" s="85"/>
      <c r="B16" s="217" t="str">
        <f>IF(A16&lt;&gt;"",_xlfn.MAXIFS($B$1:B15,$A$1:A15,A16)+1,"")</f>
        <v/>
      </c>
      <c r="C16" s="50"/>
      <c r="D16" s="50"/>
      <c r="E16" s="50"/>
      <c r="F16" s="50"/>
      <c r="G16" s="280"/>
      <c r="H16" s="293"/>
      <c r="I16" s="292"/>
      <c r="J16" s="292"/>
      <c r="K16" s="200"/>
      <c r="L16" s="200"/>
      <c r="M16" s="89" t="str">
        <f>IFERROR(VLOOKUP(H16,Lijsten!$H$1:$I$100,2,0),"")</f>
        <v/>
      </c>
      <c r="N16" s="89" t="str" cm="1">
        <f t="array" ref="N16">IFERROR(_xlfn.IFS(AND(LEFT(F16,6)="Arbeid",RIGHT(F16,3)&lt;&gt;"IKS"),IFERROR(VLOOKUP($G16,Tb_KostenTypen[],2,0),"tarief"),RIGHT(F16,3)="IKS","Uurtarief",LEFT(F16,6)="Arbeid","Uurtarief",AND(LEFT(F16,8)="Bijdrage",RIGHT(F16,15)="(vrijwilligers)"),"Vast tarief"),"")</f>
        <v/>
      </c>
      <c r="O16" s="90"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0"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1"/>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59"/>
      <c r="Z16" s="49"/>
      <c r="AA16" s="37" t="str" cm="1">
        <f t="array" ref="AA16">IFERROR(IF(INDEX(SubsidieTabel!$Q$1:$T$9,MATCH($F16,SubsidieTabel!$Q$1:$Q$9,0),IFERROR(MATCH(Methode_Keuze,SubsidieTabel!$Q$1:$T$1,0),2))&lt;&gt;1=TRUE,"ja",""),"")</f>
        <v/>
      </c>
    </row>
    <row r="17" spans="1:27" ht="15" customHeight="1" x14ac:dyDescent="0.25">
      <c r="A17" s="85"/>
      <c r="B17" s="217" t="str">
        <f>IF(A17&lt;&gt;"",_xlfn.MAXIFS($B$1:B16,$A$1:A16,A17)+1,"")</f>
        <v/>
      </c>
      <c r="C17" s="50"/>
      <c r="D17" s="50"/>
      <c r="E17" s="50"/>
      <c r="F17" s="50"/>
      <c r="G17" s="280"/>
      <c r="H17" s="293"/>
      <c r="I17" s="292"/>
      <c r="J17" s="292"/>
      <c r="K17" s="200"/>
      <c r="L17" s="200"/>
      <c r="M17" s="89" t="str">
        <f>IFERROR(VLOOKUP(H17,Lijsten!$H$1:$I$100,2,0),"")</f>
        <v/>
      </c>
      <c r="N17" s="89" t="str" cm="1">
        <f t="array" ref="N17">IFERROR(_xlfn.IFS(AND(LEFT(F17,6)="Arbeid",RIGHT(F17,3)&lt;&gt;"IKS"),IFERROR(VLOOKUP($G17,Tb_KostenTypen[],2,0),"tarief"),RIGHT(F17,3)="IKS","Uurtarief",LEFT(F17,6)="Arbeid","Uurtarief",AND(LEFT(F17,8)="Bijdrage",RIGHT(F17,15)="(vrijwilligers)"),"Vast tarief"),"")</f>
        <v/>
      </c>
      <c r="O17" s="90"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0"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1"/>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59"/>
      <c r="Z17" s="49"/>
      <c r="AA17" s="37" t="str" cm="1">
        <f t="array" ref="AA17">IFERROR(IF(INDEX(SubsidieTabel!$Q$1:$T$9,MATCH($F17,SubsidieTabel!$Q$1:$Q$9,0),IFERROR(MATCH(Methode_Keuze,SubsidieTabel!$Q$1:$T$1,0),2))&lt;&gt;1=TRUE,"ja",""),"")</f>
        <v/>
      </c>
    </row>
    <row r="18" spans="1:27" ht="15" customHeight="1" x14ac:dyDescent="0.25">
      <c r="A18" s="85"/>
      <c r="B18" s="217" t="str">
        <f>IF(A18&lt;&gt;"",_xlfn.MAXIFS($B$1:B17,$A$1:A17,A18)+1,"")</f>
        <v/>
      </c>
      <c r="C18" s="50"/>
      <c r="D18" s="50"/>
      <c r="E18" s="50"/>
      <c r="F18" s="50"/>
      <c r="G18" s="280"/>
      <c r="H18" s="293"/>
      <c r="I18" s="292"/>
      <c r="J18" s="292"/>
      <c r="K18" s="200"/>
      <c r="L18" s="200"/>
      <c r="M18" s="89" t="str">
        <f>IFERROR(VLOOKUP(H18,Lijsten!$H$1:$I$100,2,0),"")</f>
        <v/>
      </c>
      <c r="N18" s="89" t="str" cm="1">
        <f t="array" ref="N18">IFERROR(_xlfn.IFS(AND(LEFT(F18,6)="Arbeid",RIGHT(F18,3)&lt;&gt;"IKS"),IFERROR(VLOOKUP($G18,Tb_KostenTypen[],2,0),"tarief"),RIGHT(F18,3)="IKS","Uurtarief",LEFT(F18,6)="Arbeid","Uurtarief",AND(LEFT(F18,8)="Bijdrage",RIGHT(F18,15)="(vrijwilligers)"),"Vast tarief"),"")</f>
        <v/>
      </c>
      <c r="O18" s="90"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0"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1"/>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59"/>
      <c r="Z18" s="49"/>
      <c r="AA18" s="37" t="str" cm="1">
        <f t="array" ref="AA18">IFERROR(IF(INDEX(SubsidieTabel!$Q$1:$T$9,MATCH($F18,SubsidieTabel!$Q$1:$Q$9,0),IFERROR(MATCH(Methode_Keuze,SubsidieTabel!$Q$1:$T$1,0),2))&lt;&gt;1=TRUE,"ja",""),"")</f>
        <v/>
      </c>
    </row>
    <row r="19" spans="1:27" ht="15" customHeight="1" x14ac:dyDescent="0.25">
      <c r="A19" s="85"/>
      <c r="B19" s="217" t="str">
        <f>IF(A19&lt;&gt;"",_xlfn.MAXIFS($B$1:B18,$A$1:A18,A19)+1,"")</f>
        <v/>
      </c>
      <c r="C19" s="50"/>
      <c r="D19" s="50"/>
      <c r="E19" s="50"/>
      <c r="F19" s="50"/>
      <c r="G19" s="280"/>
      <c r="H19" s="293"/>
      <c r="I19" s="292"/>
      <c r="J19" s="292"/>
      <c r="K19" s="200"/>
      <c r="L19" s="200"/>
      <c r="M19" s="89" t="str">
        <f>IFERROR(VLOOKUP(H19,Lijsten!$H$1:$I$100,2,0),"")</f>
        <v/>
      </c>
      <c r="N19" s="89" t="str" cm="1">
        <f t="array" ref="N19">IFERROR(_xlfn.IFS(AND(LEFT(F19,6)="Arbeid",RIGHT(F19,3)&lt;&gt;"IKS"),IFERROR(VLOOKUP($G19,Tb_KostenTypen[],2,0),"tarief"),RIGHT(F19,3)="IKS","Uurtarief",LEFT(F19,6)="Arbeid","Uurtarief",AND(LEFT(F19,8)="Bijdrage",RIGHT(F19,15)="(vrijwilligers)"),"Vast tarief"),"")</f>
        <v/>
      </c>
      <c r="O19" s="90"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0"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1"/>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59"/>
      <c r="Z19" s="49"/>
      <c r="AA19" s="37" t="str" cm="1">
        <f t="array" ref="AA19">IFERROR(IF(INDEX(SubsidieTabel!$Q$1:$T$9,MATCH($F19,SubsidieTabel!$Q$1:$Q$9,0),IFERROR(MATCH(Methode_Keuze,SubsidieTabel!$Q$1:$T$1,0),2))&lt;&gt;1=TRUE,"ja",""),"")</f>
        <v/>
      </c>
    </row>
    <row r="20" spans="1:27" ht="15" customHeight="1" x14ac:dyDescent="0.25">
      <c r="A20" s="85"/>
      <c r="B20" s="217" t="str">
        <f>IF(A20&lt;&gt;"",_xlfn.MAXIFS($B$1:B19,$A$1:A19,A20)+1,"")</f>
        <v/>
      </c>
      <c r="C20" s="50"/>
      <c r="D20" s="50"/>
      <c r="E20" s="50"/>
      <c r="F20" s="50"/>
      <c r="G20" s="280"/>
      <c r="H20" s="293"/>
      <c r="I20" s="292"/>
      <c r="J20" s="292"/>
      <c r="K20" s="200"/>
      <c r="L20" s="200"/>
      <c r="M20" s="89" t="str">
        <f>IFERROR(VLOOKUP(H20,Lijsten!$H$1:$I$100,2,0),"")</f>
        <v/>
      </c>
      <c r="N20" s="89" t="str" cm="1">
        <f t="array" ref="N20">IFERROR(_xlfn.IFS(AND(LEFT(F20,6)="Arbeid",RIGHT(F20,3)&lt;&gt;"IKS"),IFERROR(VLOOKUP($G20,Tb_KostenTypen[],2,0),"tarief"),RIGHT(F20,3)="IKS","Uurtarief",LEFT(F20,6)="Arbeid","Uurtarief",AND(LEFT(F20,8)="Bijdrage",RIGHT(F20,15)="(vrijwilligers)"),"Vast tarief"),"")</f>
        <v/>
      </c>
      <c r="O20" s="90"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0"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1"/>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59"/>
      <c r="Z20" s="49"/>
      <c r="AA20" s="37" t="str" cm="1">
        <f t="array" ref="AA20">IFERROR(IF(INDEX(SubsidieTabel!$Q$1:$T$9,MATCH($F20,SubsidieTabel!$Q$1:$Q$9,0),IFERROR(MATCH(Methode_Keuze,SubsidieTabel!$Q$1:$T$1,0),2))&lt;&gt;1=TRUE,"ja",""),"")</f>
        <v/>
      </c>
    </row>
    <row r="21" spans="1:27" ht="15" customHeight="1" x14ac:dyDescent="0.25">
      <c r="A21" s="85"/>
      <c r="B21" s="217" t="str">
        <f>IF(A21&lt;&gt;"",_xlfn.MAXIFS($B$1:B20,$A$1:A20,A21)+1,"")</f>
        <v/>
      </c>
      <c r="C21" s="50"/>
      <c r="D21" s="50"/>
      <c r="E21" s="50"/>
      <c r="F21" s="50"/>
      <c r="G21" s="280"/>
      <c r="H21" s="293"/>
      <c r="I21" s="292"/>
      <c r="J21" s="292"/>
      <c r="K21" s="200"/>
      <c r="L21" s="200"/>
      <c r="M21" s="89" t="str">
        <f>IFERROR(VLOOKUP(H21,Lijsten!$H$1:$I$100,2,0),"")</f>
        <v/>
      </c>
      <c r="N21" s="89" t="str" cm="1">
        <f t="array" ref="N21">IFERROR(_xlfn.IFS(AND(LEFT(F21,6)="Arbeid",RIGHT(F21,3)&lt;&gt;"IKS"),IFERROR(VLOOKUP($G21,Tb_KostenTypen[],2,0),"tarief"),RIGHT(F21,3)="IKS","Uurtarief",LEFT(F21,6)="Arbeid","Uurtarief",AND(LEFT(F21,8)="Bijdrage",RIGHT(F21,15)="(vrijwilligers)"),"Vast tarief"),"")</f>
        <v/>
      </c>
      <c r="O21" s="90"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0"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1"/>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59"/>
      <c r="Z21" s="49"/>
      <c r="AA21" s="37" t="str" cm="1">
        <f t="array" ref="AA21">IFERROR(IF(INDEX(SubsidieTabel!$Q$1:$T$9,MATCH($F21,SubsidieTabel!$Q$1:$Q$9,0),IFERROR(MATCH(Methode_Keuze,SubsidieTabel!$Q$1:$T$1,0),2))&lt;&gt;1=TRUE,"ja",""),"")</f>
        <v/>
      </c>
    </row>
    <row r="22" spans="1:27" ht="15" customHeight="1" x14ac:dyDescent="0.25">
      <c r="A22" s="85"/>
      <c r="B22" s="217" t="str">
        <f>IF(A22&lt;&gt;"",_xlfn.MAXIFS($B$1:B21,$A$1:A21,A22)+1,"")</f>
        <v/>
      </c>
      <c r="C22" s="50"/>
      <c r="D22" s="50"/>
      <c r="E22" s="50"/>
      <c r="F22" s="50"/>
      <c r="G22" s="280"/>
      <c r="H22" s="293"/>
      <c r="I22" s="292"/>
      <c r="J22" s="292"/>
      <c r="K22" s="200"/>
      <c r="L22" s="200"/>
      <c r="M22" s="89" t="str">
        <f>IFERROR(VLOOKUP(H22,Lijsten!$H$1:$I$100,2,0),"")</f>
        <v/>
      </c>
      <c r="N22" s="89" t="str" cm="1">
        <f t="array" ref="N22">IFERROR(_xlfn.IFS(AND(LEFT(F22,6)="Arbeid",RIGHT(F22,3)&lt;&gt;"IKS"),IFERROR(VLOOKUP($G22,Tb_KostenTypen[],2,0),"tarief"),RIGHT(F22,3)="IKS","Uurtarief",LEFT(F22,6)="Arbeid","Uurtarief",AND(LEFT(F22,8)="Bijdrage",RIGHT(F22,15)="(vrijwilligers)"),"Vast tarief"),"")</f>
        <v/>
      </c>
      <c r="O22" s="90"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0"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1"/>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59"/>
      <c r="Z22" s="49"/>
      <c r="AA22" s="37" t="str" cm="1">
        <f t="array" ref="AA22">IFERROR(IF(INDEX(SubsidieTabel!$Q$1:$T$9,MATCH($F22,SubsidieTabel!$Q$1:$Q$9,0),IFERROR(MATCH(Methode_Keuze,SubsidieTabel!$Q$1:$T$1,0),2))&lt;&gt;1=TRUE,"ja",""),"")</f>
        <v/>
      </c>
    </row>
    <row r="23" spans="1:27" ht="15" customHeight="1" x14ac:dyDescent="0.25">
      <c r="A23" s="85"/>
      <c r="B23" s="217" t="str">
        <f>IF(A23&lt;&gt;"",_xlfn.MAXIFS($B$1:B22,$A$1:A22,A23)+1,"")</f>
        <v/>
      </c>
      <c r="C23" s="50"/>
      <c r="D23" s="50"/>
      <c r="E23" s="50"/>
      <c r="F23" s="50"/>
      <c r="G23" s="280"/>
      <c r="H23" s="293"/>
      <c r="I23" s="292"/>
      <c r="J23" s="292"/>
      <c r="K23" s="200"/>
      <c r="L23" s="200"/>
      <c r="M23" s="89" t="str">
        <f>IFERROR(VLOOKUP(H23,Lijsten!$H$1:$I$100,2,0),"")</f>
        <v/>
      </c>
      <c r="N23" s="89" t="str" cm="1">
        <f t="array" ref="N23">IFERROR(_xlfn.IFS(AND(LEFT(F23,6)="Arbeid",RIGHT(F23,3)&lt;&gt;"IKS"),IFERROR(VLOOKUP($G23,Tb_KostenTypen[],2,0),"tarief"),RIGHT(F23,3)="IKS","Uurtarief",LEFT(F23,6)="Arbeid","Uurtarief",AND(LEFT(F23,8)="Bijdrage",RIGHT(F23,15)="(vrijwilligers)"),"Vast tarief"),"")</f>
        <v/>
      </c>
      <c r="O23" s="90"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0"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1"/>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59"/>
      <c r="Z23" s="49"/>
      <c r="AA23" s="37" t="str" cm="1">
        <f t="array" ref="AA23">IFERROR(IF(INDEX(SubsidieTabel!$Q$1:$T$9,MATCH($F23,SubsidieTabel!$Q$1:$Q$9,0),IFERROR(MATCH(Methode_Keuze,SubsidieTabel!$Q$1:$T$1,0),2))&lt;&gt;1=TRUE,"ja",""),"")</f>
        <v/>
      </c>
    </row>
    <row r="24" spans="1:27" ht="15" customHeight="1" x14ac:dyDescent="0.25">
      <c r="A24" s="85"/>
      <c r="B24" s="217" t="str">
        <f>IF(A24&lt;&gt;"",_xlfn.MAXIFS($B$1:B23,$A$1:A23,A24)+1,"")</f>
        <v/>
      </c>
      <c r="C24" s="50"/>
      <c r="D24" s="50"/>
      <c r="E24" s="50"/>
      <c r="F24" s="50"/>
      <c r="G24" s="280"/>
      <c r="H24" s="293"/>
      <c r="I24" s="292"/>
      <c r="J24" s="292"/>
      <c r="K24" s="200"/>
      <c r="L24" s="200"/>
      <c r="M24" s="89" t="str">
        <f>IFERROR(VLOOKUP(H24,Lijsten!$H$1:$I$100,2,0),"")</f>
        <v/>
      </c>
      <c r="N24" s="89" t="str" cm="1">
        <f t="array" ref="N24">IFERROR(_xlfn.IFS(AND(LEFT(F24,6)="Arbeid",RIGHT(F24,3)&lt;&gt;"IKS"),IFERROR(VLOOKUP($G24,Tb_KostenTypen[],2,0),"tarief"),RIGHT(F24,3)="IKS","Uurtarief",LEFT(F24,6)="Arbeid","Uurtarief",AND(LEFT(F24,8)="Bijdrage",RIGHT(F24,15)="(vrijwilligers)"),"Vast tarief"),"")</f>
        <v/>
      </c>
      <c r="O24" s="90"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0"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1"/>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59"/>
      <c r="Z24" s="49"/>
      <c r="AA24" s="37" t="str" cm="1">
        <f t="array" ref="AA24">IFERROR(IF(INDEX(SubsidieTabel!$Q$1:$T$9,MATCH($F24,SubsidieTabel!$Q$1:$Q$9,0),IFERROR(MATCH(Methode_Keuze,SubsidieTabel!$Q$1:$T$1,0),2))&lt;&gt;1=TRUE,"ja",""),"")</f>
        <v/>
      </c>
    </row>
    <row r="25" spans="1:27" ht="15" customHeight="1" x14ac:dyDescent="0.25">
      <c r="A25" s="85"/>
      <c r="B25" s="217" t="str">
        <f>IF(A25&lt;&gt;"",_xlfn.MAXIFS($B$1:B24,$A$1:A24,A25)+1,"")</f>
        <v/>
      </c>
      <c r="C25" s="50"/>
      <c r="D25" s="50"/>
      <c r="E25" s="50"/>
      <c r="F25" s="50"/>
      <c r="G25" s="280"/>
      <c r="H25" s="293"/>
      <c r="I25" s="292"/>
      <c r="J25" s="292"/>
      <c r="K25" s="200"/>
      <c r="L25" s="200"/>
      <c r="M25" s="89" t="str">
        <f>IFERROR(VLOOKUP(H25,Lijsten!$H$1:$I$100,2,0),"")</f>
        <v/>
      </c>
      <c r="N25" s="89" t="str" cm="1">
        <f t="array" ref="N25">IFERROR(_xlfn.IFS(AND(LEFT(F25,6)="Arbeid",RIGHT(F25,3)&lt;&gt;"IKS"),IFERROR(VLOOKUP($G25,Tb_KostenTypen[],2,0),"tarief"),RIGHT(F25,3)="IKS","Uurtarief",LEFT(F25,6)="Arbeid","Uurtarief",AND(LEFT(F25,8)="Bijdrage",RIGHT(F25,15)="(vrijwilligers)"),"Vast tarief"),"")</f>
        <v/>
      </c>
      <c r="O25" s="90"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0"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1"/>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59"/>
      <c r="Z25" s="49"/>
      <c r="AA25" s="37" t="str" cm="1">
        <f t="array" ref="AA25">IFERROR(IF(INDEX(SubsidieTabel!$Q$1:$T$9,MATCH($F25,SubsidieTabel!$Q$1:$Q$9,0),IFERROR(MATCH(Methode_Keuze,SubsidieTabel!$Q$1:$T$1,0),2))&lt;&gt;1=TRUE,"ja",""),"")</f>
        <v/>
      </c>
    </row>
    <row r="26" spans="1:27" ht="15" customHeight="1" x14ac:dyDescent="0.25">
      <c r="A26" s="85"/>
      <c r="B26" s="217" t="str">
        <f>IF(A26&lt;&gt;"",_xlfn.MAXIFS($B$1:B25,$A$1:A25,A26)+1,"")</f>
        <v/>
      </c>
      <c r="C26" s="50"/>
      <c r="D26" s="50"/>
      <c r="E26" s="50"/>
      <c r="F26" s="50"/>
      <c r="G26" s="280"/>
      <c r="H26" s="293"/>
      <c r="I26" s="292"/>
      <c r="J26" s="292"/>
      <c r="K26" s="200"/>
      <c r="L26" s="200"/>
      <c r="M26" s="89" t="str">
        <f>IFERROR(VLOOKUP(H26,Lijsten!$H$1:$I$100,2,0),"")</f>
        <v/>
      </c>
      <c r="N26" s="89" t="str" cm="1">
        <f t="array" ref="N26">IFERROR(_xlfn.IFS(AND(LEFT(F26,6)="Arbeid",RIGHT(F26,3)&lt;&gt;"IKS"),IFERROR(VLOOKUP($G26,Tb_KostenTypen[],2,0),"tarief"),RIGHT(F26,3)="IKS","Uurtarief",LEFT(F26,6)="Arbeid","Uurtarief",AND(LEFT(F26,8)="Bijdrage",RIGHT(F26,15)="(vrijwilligers)"),"Vast tarief"),"")</f>
        <v/>
      </c>
      <c r="O26" s="90"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0"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1"/>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59"/>
      <c r="Z26" s="49"/>
      <c r="AA26" s="37" t="str" cm="1">
        <f t="array" ref="AA26">IFERROR(IF(INDEX(SubsidieTabel!$Q$1:$T$9,MATCH($F26,SubsidieTabel!$Q$1:$Q$9,0),IFERROR(MATCH(Methode_Keuze,SubsidieTabel!$Q$1:$T$1,0),2))&lt;&gt;1=TRUE,"ja",""),"")</f>
        <v/>
      </c>
    </row>
    <row r="27" spans="1:27" ht="15" customHeight="1" x14ac:dyDescent="0.25">
      <c r="A27" s="85"/>
      <c r="B27" s="217" t="str">
        <f>IF(A27&lt;&gt;"",_xlfn.MAXIFS($B$1:B26,$A$1:A26,A27)+1,"")</f>
        <v/>
      </c>
      <c r="C27" s="50"/>
      <c r="D27" s="50"/>
      <c r="E27" s="50"/>
      <c r="F27" s="50"/>
      <c r="G27" s="280"/>
      <c r="H27" s="293"/>
      <c r="I27" s="292"/>
      <c r="J27" s="292"/>
      <c r="K27" s="200"/>
      <c r="L27" s="200"/>
      <c r="M27" s="89" t="str">
        <f>IFERROR(VLOOKUP(H27,Lijsten!$H$1:$I$100,2,0),"")</f>
        <v/>
      </c>
      <c r="N27" s="89" t="str" cm="1">
        <f t="array" ref="N27">IFERROR(_xlfn.IFS(AND(LEFT(F27,6)="Arbeid",RIGHT(F27,3)&lt;&gt;"IKS"),IFERROR(VLOOKUP($G27,Tb_KostenTypen[],2,0),"tarief"),RIGHT(F27,3)="IKS","Uurtarief",LEFT(F27,6)="Arbeid","Uurtarief",AND(LEFT(F27,8)="Bijdrage",RIGHT(F27,15)="(vrijwilligers)"),"Vast tarief"),"")</f>
        <v/>
      </c>
      <c r="O27" s="90"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0"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1"/>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59"/>
      <c r="Z27" s="49"/>
      <c r="AA27" s="37" t="str" cm="1">
        <f t="array" ref="AA27">IFERROR(IF(INDEX(SubsidieTabel!$Q$1:$T$9,MATCH($F27,SubsidieTabel!$Q$1:$Q$9,0),IFERROR(MATCH(Methode_Keuze,SubsidieTabel!$Q$1:$T$1,0),2))&lt;&gt;1=TRUE,"ja",""),"")</f>
        <v/>
      </c>
    </row>
    <row r="28" spans="1:27" ht="15" customHeight="1" x14ac:dyDescent="0.25">
      <c r="A28" s="85"/>
      <c r="B28" s="217" t="str">
        <f>IF(A28&lt;&gt;"",_xlfn.MAXIFS($B$1:B27,$A$1:A27,A28)+1,"")</f>
        <v/>
      </c>
      <c r="C28" s="50"/>
      <c r="D28" s="50"/>
      <c r="E28" s="50"/>
      <c r="F28" s="50"/>
      <c r="G28" s="280"/>
      <c r="H28" s="293"/>
      <c r="I28" s="292"/>
      <c r="J28" s="292"/>
      <c r="K28" s="200"/>
      <c r="L28" s="200"/>
      <c r="M28" s="89" t="str">
        <f>IFERROR(VLOOKUP(H28,Lijsten!$H$1:$I$100,2,0),"")</f>
        <v/>
      </c>
      <c r="N28" s="89" t="str" cm="1">
        <f t="array" ref="N28">IFERROR(_xlfn.IFS(AND(LEFT(F28,6)="Arbeid",RIGHT(F28,3)&lt;&gt;"IKS"),IFERROR(VLOOKUP($G28,Tb_KostenTypen[],2,0),"tarief"),RIGHT(F28,3)="IKS","Uurtarief",LEFT(F28,6)="Arbeid","Uurtarief",AND(LEFT(F28,8)="Bijdrage",RIGHT(F28,15)="(vrijwilligers)"),"Vast tarief"),"")</f>
        <v/>
      </c>
      <c r="O28" s="90"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0"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1"/>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59"/>
      <c r="Z28" s="49"/>
      <c r="AA28" s="37" t="str" cm="1">
        <f t="array" ref="AA28">IFERROR(IF(INDEX(SubsidieTabel!$Q$1:$T$9,MATCH($F28,SubsidieTabel!$Q$1:$Q$9,0),IFERROR(MATCH(Methode_Keuze,SubsidieTabel!$Q$1:$T$1,0),2))&lt;&gt;1=TRUE,"ja",""),"")</f>
        <v/>
      </c>
    </row>
    <row r="29" spans="1:27" ht="15" customHeight="1" x14ac:dyDescent="0.25">
      <c r="A29" s="85"/>
      <c r="B29" s="217" t="str">
        <f>IF(A29&lt;&gt;"",_xlfn.MAXIFS($B$1:B28,$A$1:A28,A29)+1,"")</f>
        <v/>
      </c>
      <c r="C29" s="50"/>
      <c r="D29" s="50"/>
      <c r="E29" s="50"/>
      <c r="F29" s="50"/>
      <c r="G29" s="280"/>
      <c r="H29" s="293"/>
      <c r="I29" s="292"/>
      <c r="J29" s="292"/>
      <c r="K29" s="200"/>
      <c r="L29" s="200"/>
      <c r="M29" s="89" t="str">
        <f>IFERROR(VLOOKUP(H29,Lijsten!$H$1:$I$100,2,0),"")</f>
        <v/>
      </c>
      <c r="N29" s="89" t="str" cm="1">
        <f t="array" ref="N29">IFERROR(_xlfn.IFS(AND(LEFT(F29,6)="Arbeid",RIGHT(F29,3)&lt;&gt;"IKS"),IFERROR(VLOOKUP($G29,Tb_KostenTypen[],2,0),"tarief"),RIGHT(F29,3)="IKS","Uurtarief",LEFT(F29,6)="Arbeid","Uurtarief",AND(LEFT(F29,8)="Bijdrage",RIGHT(F29,15)="(vrijwilligers)"),"Vast tarief"),"")</f>
        <v/>
      </c>
      <c r="O29" s="90"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0"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1"/>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59"/>
      <c r="Z29" s="49"/>
      <c r="AA29" s="37" t="str" cm="1">
        <f t="array" ref="AA29">IFERROR(IF(INDEX(SubsidieTabel!$Q$1:$T$9,MATCH($F29,SubsidieTabel!$Q$1:$Q$9,0),IFERROR(MATCH(Methode_Keuze,SubsidieTabel!$Q$1:$T$1,0),2))&lt;&gt;1=TRUE,"ja",""),"")</f>
        <v/>
      </c>
    </row>
    <row r="30" spans="1:27" ht="15" customHeight="1" x14ac:dyDescent="0.25">
      <c r="A30" s="85"/>
      <c r="B30" s="217" t="str">
        <f>IF(A30&lt;&gt;"",_xlfn.MAXIFS($B$1:B29,$A$1:A29,A30)+1,"")</f>
        <v/>
      </c>
      <c r="C30" s="50"/>
      <c r="D30" s="50"/>
      <c r="E30" s="50"/>
      <c r="F30" s="50"/>
      <c r="G30" s="280"/>
      <c r="H30" s="293"/>
      <c r="I30" s="292"/>
      <c r="J30" s="292"/>
      <c r="K30" s="200"/>
      <c r="L30" s="200"/>
      <c r="M30" s="89" t="str">
        <f>IFERROR(VLOOKUP(H30,Lijsten!$H$1:$I$100,2,0),"")</f>
        <v/>
      </c>
      <c r="N30" s="89" t="str" cm="1">
        <f t="array" ref="N30">IFERROR(_xlfn.IFS(AND(LEFT(F30,6)="Arbeid",RIGHT(F30,3)&lt;&gt;"IKS"),IFERROR(VLOOKUP($G30,Tb_KostenTypen[],2,0),"tarief"),RIGHT(F30,3)="IKS","Uurtarief",LEFT(F30,6)="Arbeid","Uurtarief",AND(LEFT(F30,8)="Bijdrage",RIGHT(F30,15)="(vrijwilligers)"),"Vast tarief"),"")</f>
        <v/>
      </c>
      <c r="O30" s="90"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0"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1"/>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59"/>
      <c r="Z30" s="49"/>
      <c r="AA30" s="37" t="str" cm="1">
        <f t="array" ref="AA30">IFERROR(IF(INDEX(SubsidieTabel!$Q$1:$T$9,MATCH($F30,SubsidieTabel!$Q$1:$Q$9,0),IFERROR(MATCH(Methode_Keuze,SubsidieTabel!$Q$1:$T$1,0),2))&lt;&gt;1=TRUE,"ja",""),"")</f>
        <v/>
      </c>
    </row>
    <row r="31" spans="1:27" ht="15" customHeight="1" x14ac:dyDescent="0.25">
      <c r="A31" s="85"/>
      <c r="B31" s="217" t="str">
        <f>IF(A31&lt;&gt;"",_xlfn.MAXIFS($B$1:B30,$A$1:A30,A31)+1,"")</f>
        <v/>
      </c>
      <c r="C31" s="50"/>
      <c r="D31" s="50"/>
      <c r="E31" s="50"/>
      <c r="F31" s="50"/>
      <c r="G31" s="280"/>
      <c r="H31" s="293"/>
      <c r="I31" s="292"/>
      <c r="J31" s="292"/>
      <c r="K31" s="200"/>
      <c r="L31" s="200"/>
      <c r="M31" s="89" t="str">
        <f>IFERROR(VLOOKUP(H31,Lijsten!$H$1:$I$100,2,0),"")</f>
        <v/>
      </c>
      <c r="N31" s="89" t="str" cm="1">
        <f t="array" ref="N31">IFERROR(_xlfn.IFS(AND(LEFT(F31,6)="Arbeid",RIGHT(F31,3)&lt;&gt;"IKS"),IFERROR(VLOOKUP($G31,Tb_KostenTypen[],2,0),"tarief"),RIGHT(F31,3)="IKS","Uurtarief",LEFT(F31,6)="Arbeid","Uurtarief",AND(LEFT(F31,8)="Bijdrage",RIGHT(F31,15)="(vrijwilligers)"),"Vast tarief"),"")</f>
        <v/>
      </c>
      <c r="O31" s="90"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0"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1"/>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59"/>
      <c r="Z31" s="49"/>
      <c r="AA31" s="37" t="str" cm="1">
        <f t="array" ref="AA31">IFERROR(IF(INDEX(SubsidieTabel!$Q$1:$T$9,MATCH($F31,SubsidieTabel!$Q$1:$Q$9,0),IFERROR(MATCH(Methode_Keuze,SubsidieTabel!$Q$1:$T$1,0),2))&lt;&gt;1=TRUE,"ja",""),"")</f>
        <v/>
      </c>
    </row>
    <row r="32" spans="1:27" ht="15" customHeight="1" x14ac:dyDescent="0.25">
      <c r="A32" s="85"/>
      <c r="B32" s="217" t="str">
        <f>IF(A32&lt;&gt;"",_xlfn.MAXIFS($B$1:B31,$A$1:A31,A32)+1,"")</f>
        <v/>
      </c>
      <c r="C32" s="50"/>
      <c r="D32" s="50"/>
      <c r="E32" s="50"/>
      <c r="F32" s="50"/>
      <c r="G32" s="280"/>
      <c r="H32" s="293"/>
      <c r="I32" s="292"/>
      <c r="J32" s="292"/>
      <c r="K32" s="200"/>
      <c r="L32" s="200"/>
      <c r="M32" s="89" t="str">
        <f>IFERROR(VLOOKUP(H32,Lijsten!$H$1:$I$100,2,0),"")</f>
        <v/>
      </c>
      <c r="N32" s="89" t="str" cm="1">
        <f t="array" ref="N32">IFERROR(_xlfn.IFS(AND(LEFT(F32,6)="Arbeid",RIGHT(F32,3)&lt;&gt;"IKS"),IFERROR(VLOOKUP($G32,Tb_KostenTypen[],2,0),"tarief"),RIGHT(F32,3)="IKS","Uurtarief",LEFT(F32,6)="Arbeid","Uurtarief",AND(LEFT(F32,8)="Bijdrage",RIGHT(F32,15)="(vrijwilligers)"),"Vast tarief"),"")</f>
        <v/>
      </c>
      <c r="O32" s="90"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0"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1"/>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59"/>
      <c r="Z32" s="49"/>
      <c r="AA32" s="37" t="str" cm="1">
        <f t="array" ref="AA32">IFERROR(IF(INDEX(SubsidieTabel!$Q$1:$T$9,MATCH($F32,SubsidieTabel!$Q$1:$Q$9,0),IFERROR(MATCH(Methode_Keuze,SubsidieTabel!$Q$1:$T$1,0),2))&lt;&gt;1=TRUE,"ja",""),"")</f>
        <v/>
      </c>
    </row>
    <row r="33" spans="1:27" ht="15" customHeight="1" x14ac:dyDescent="0.25">
      <c r="A33" s="85"/>
      <c r="B33" s="217" t="str">
        <f>IF(A33&lt;&gt;"",_xlfn.MAXIFS($B$1:B32,$A$1:A32,A33)+1,"")</f>
        <v/>
      </c>
      <c r="C33" s="50"/>
      <c r="D33" s="50"/>
      <c r="E33" s="50"/>
      <c r="F33" s="50"/>
      <c r="G33" s="280"/>
      <c r="H33" s="293"/>
      <c r="I33" s="292"/>
      <c r="J33" s="292"/>
      <c r="K33" s="200"/>
      <c r="L33" s="200"/>
      <c r="M33" s="89" t="str">
        <f>IFERROR(VLOOKUP(H33,Lijsten!$H$1:$I$100,2,0),"")</f>
        <v/>
      </c>
      <c r="N33" s="89" t="str" cm="1">
        <f t="array" ref="N33">IFERROR(_xlfn.IFS(AND(LEFT(F33,6)="Arbeid",RIGHT(F33,3)&lt;&gt;"IKS"),IFERROR(VLOOKUP($G33,Tb_KostenTypen[],2,0),"tarief"),RIGHT(F33,3)="IKS","Uurtarief",LEFT(F33,6)="Arbeid","Uurtarief",AND(LEFT(F33,8)="Bijdrage",RIGHT(F33,15)="(vrijwilligers)"),"Vast tarief"),"")</f>
        <v/>
      </c>
      <c r="O33" s="90"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0"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1"/>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59"/>
      <c r="Z33" s="49"/>
      <c r="AA33" s="37" t="str" cm="1">
        <f t="array" ref="AA33">IFERROR(IF(INDEX(SubsidieTabel!$Q$1:$T$9,MATCH($F33,SubsidieTabel!$Q$1:$Q$9,0),IFERROR(MATCH(Methode_Keuze,SubsidieTabel!$Q$1:$T$1,0),2))&lt;&gt;1=TRUE,"ja",""),"")</f>
        <v/>
      </c>
    </row>
    <row r="34" spans="1:27" ht="15" customHeight="1" x14ac:dyDescent="0.25">
      <c r="A34" s="85"/>
      <c r="B34" s="217" t="str">
        <f>IF(A34&lt;&gt;"",_xlfn.MAXIFS($B$1:B33,$A$1:A33,A34)+1,"")</f>
        <v/>
      </c>
      <c r="C34" s="50"/>
      <c r="D34" s="50"/>
      <c r="E34" s="50"/>
      <c r="F34" s="50"/>
      <c r="G34" s="280"/>
      <c r="H34" s="293"/>
      <c r="I34" s="292"/>
      <c r="J34" s="292"/>
      <c r="K34" s="200"/>
      <c r="L34" s="200"/>
      <c r="M34" s="89" t="str">
        <f>IFERROR(VLOOKUP(H34,Lijsten!$H$1:$I$100,2,0),"")</f>
        <v/>
      </c>
      <c r="N34" s="89" t="str" cm="1">
        <f t="array" ref="N34">IFERROR(_xlfn.IFS(AND(LEFT(F34,6)="Arbeid",RIGHT(F34,3)&lt;&gt;"IKS"),IFERROR(VLOOKUP($G34,Tb_KostenTypen[],2,0),"tarief"),RIGHT(F34,3)="IKS","Uurtarief",LEFT(F34,6)="Arbeid","Uurtarief",AND(LEFT(F34,8)="Bijdrage",RIGHT(F34,15)="(vrijwilligers)"),"Vast tarief"),"")</f>
        <v/>
      </c>
      <c r="O34" s="90"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0"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1"/>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59"/>
      <c r="Z34" s="49"/>
      <c r="AA34" s="37" t="str" cm="1">
        <f t="array" ref="AA34">IFERROR(IF(INDEX(SubsidieTabel!$Q$1:$T$9,MATCH($F34,SubsidieTabel!$Q$1:$Q$9,0),IFERROR(MATCH(Methode_Keuze,SubsidieTabel!$Q$1:$T$1,0),2))&lt;&gt;1=TRUE,"ja",""),"")</f>
        <v/>
      </c>
    </row>
    <row r="35" spans="1:27" ht="15" customHeight="1" x14ac:dyDescent="0.25">
      <c r="A35" s="85"/>
      <c r="B35" s="217" t="str">
        <f>IF(A35&lt;&gt;"",_xlfn.MAXIFS($B$1:B34,$A$1:A34,A35)+1,"")</f>
        <v/>
      </c>
      <c r="C35" s="50"/>
      <c r="D35" s="50"/>
      <c r="E35" s="50"/>
      <c r="F35" s="50"/>
      <c r="G35" s="280"/>
      <c r="H35" s="293"/>
      <c r="I35" s="292"/>
      <c r="J35" s="292"/>
      <c r="K35" s="200"/>
      <c r="L35" s="200"/>
      <c r="M35" s="89" t="str">
        <f>IFERROR(VLOOKUP(H35,Lijsten!$H$1:$I$100,2,0),"")</f>
        <v/>
      </c>
      <c r="N35" s="89" t="str" cm="1">
        <f t="array" ref="N35">IFERROR(_xlfn.IFS(AND(LEFT(F35,6)="Arbeid",RIGHT(F35,3)&lt;&gt;"IKS"),IFERROR(VLOOKUP($G35,Tb_KostenTypen[],2,0),"tarief"),RIGHT(F35,3)="IKS","Uurtarief",LEFT(F35,6)="Arbeid","Uurtarief",AND(LEFT(F35,8)="Bijdrage",RIGHT(F35,15)="(vrijwilligers)"),"Vast tarief"),"")</f>
        <v/>
      </c>
      <c r="O35" s="90"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0"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1"/>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59"/>
      <c r="Z35" s="49"/>
      <c r="AA35" s="37" t="str" cm="1">
        <f t="array" ref="AA35">IFERROR(IF(INDEX(SubsidieTabel!$Q$1:$T$9,MATCH($F35,SubsidieTabel!$Q$1:$Q$9,0),IFERROR(MATCH(Methode_Keuze,SubsidieTabel!$Q$1:$T$1,0),2))&lt;&gt;1=TRUE,"ja",""),"")</f>
        <v/>
      </c>
    </row>
    <row r="36" spans="1:27" ht="15" customHeight="1" x14ac:dyDescent="0.25">
      <c r="A36" s="85"/>
      <c r="B36" s="217" t="str">
        <f>IF(A36&lt;&gt;"",_xlfn.MAXIFS($B$1:B35,$A$1:A35,A36)+1,"")</f>
        <v/>
      </c>
      <c r="C36" s="50"/>
      <c r="D36" s="50"/>
      <c r="E36" s="50"/>
      <c r="F36" s="50"/>
      <c r="G36" s="280"/>
      <c r="H36" s="293"/>
      <c r="I36" s="292"/>
      <c r="J36" s="292"/>
      <c r="K36" s="200"/>
      <c r="L36" s="200"/>
      <c r="M36" s="89" t="str">
        <f>IFERROR(VLOOKUP(H36,Lijsten!$H$1:$I$100,2,0),"")</f>
        <v/>
      </c>
      <c r="N36" s="89" t="str" cm="1">
        <f t="array" ref="N36">IFERROR(_xlfn.IFS(AND(LEFT(F36,6)="Arbeid",RIGHT(F36,3)&lt;&gt;"IKS"),IFERROR(VLOOKUP($G36,Tb_KostenTypen[],2,0),"tarief"),RIGHT(F36,3)="IKS","Uurtarief",LEFT(F36,6)="Arbeid","Uurtarief",AND(LEFT(F36,8)="Bijdrage",RIGHT(F36,15)="(vrijwilligers)"),"Vast tarief"),"")</f>
        <v/>
      </c>
      <c r="O36" s="90"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0"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1"/>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59"/>
      <c r="Z36" s="49"/>
      <c r="AA36" s="37" t="str" cm="1">
        <f t="array" ref="AA36">IFERROR(IF(INDEX(SubsidieTabel!$Q$1:$T$9,MATCH($F36,SubsidieTabel!$Q$1:$Q$9,0),IFERROR(MATCH(Methode_Keuze,SubsidieTabel!$Q$1:$T$1,0),2))&lt;&gt;1=TRUE,"ja",""),"")</f>
        <v/>
      </c>
    </row>
    <row r="37" spans="1:27" ht="15" customHeight="1" x14ac:dyDescent="0.25">
      <c r="A37" s="85"/>
      <c r="B37" s="217" t="str">
        <f>IF(A37&lt;&gt;"",_xlfn.MAXIFS($B$1:B36,$A$1:A36,A37)+1,"")</f>
        <v/>
      </c>
      <c r="C37" s="50"/>
      <c r="D37" s="50"/>
      <c r="E37" s="50"/>
      <c r="F37" s="50"/>
      <c r="G37" s="280"/>
      <c r="H37" s="293"/>
      <c r="I37" s="292"/>
      <c r="J37" s="292"/>
      <c r="K37" s="200"/>
      <c r="L37" s="200"/>
      <c r="M37" s="89" t="str">
        <f>IFERROR(VLOOKUP(H37,Lijsten!$H$1:$I$100,2,0),"")</f>
        <v/>
      </c>
      <c r="N37" s="89" t="str" cm="1">
        <f t="array" ref="N37">IFERROR(_xlfn.IFS(AND(LEFT(F37,6)="Arbeid",RIGHT(F37,3)&lt;&gt;"IKS"),IFERROR(VLOOKUP($G37,Tb_KostenTypen[],2,0),"tarief"),RIGHT(F37,3)="IKS","Uurtarief",LEFT(F37,6)="Arbeid","Uurtarief",AND(LEFT(F37,8)="Bijdrage",RIGHT(F37,15)="(vrijwilligers)"),"Vast tarief"),"")</f>
        <v/>
      </c>
      <c r="O37" s="90"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0"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1"/>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59"/>
      <c r="Z37" s="49"/>
      <c r="AA37" s="37" t="str" cm="1">
        <f t="array" ref="AA37">IFERROR(IF(INDEX(SubsidieTabel!$Q$1:$T$9,MATCH($F37,SubsidieTabel!$Q$1:$Q$9,0),IFERROR(MATCH(Methode_Keuze,SubsidieTabel!$Q$1:$T$1,0),2))&lt;&gt;1=TRUE,"ja",""),"")</f>
        <v/>
      </c>
    </row>
    <row r="38" spans="1:27" ht="15" customHeight="1" x14ac:dyDescent="0.25">
      <c r="A38" s="85"/>
      <c r="B38" s="217" t="str">
        <f>IF(A38&lt;&gt;"",_xlfn.MAXIFS($B$1:B37,$A$1:A37,A38)+1,"")</f>
        <v/>
      </c>
      <c r="C38" s="50"/>
      <c r="D38" s="50"/>
      <c r="E38" s="50"/>
      <c r="F38" s="50"/>
      <c r="G38" s="280"/>
      <c r="H38" s="293"/>
      <c r="I38" s="292"/>
      <c r="J38" s="292"/>
      <c r="K38" s="200"/>
      <c r="L38" s="200"/>
      <c r="M38" s="89" t="str">
        <f>IFERROR(VLOOKUP(H38,Lijsten!$H$1:$I$100,2,0),"")</f>
        <v/>
      </c>
      <c r="N38" s="89" t="str" cm="1">
        <f t="array" ref="N38">IFERROR(_xlfn.IFS(AND(LEFT(F38,6)="Arbeid",RIGHT(F38,3)&lt;&gt;"IKS"),IFERROR(VLOOKUP($G38,Tb_KostenTypen[],2,0),"tarief"),RIGHT(F38,3)="IKS","Uurtarief",LEFT(F38,6)="Arbeid","Uurtarief",AND(LEFT(F38,8)="Bijdrage",RIGHT(F38,15)="(vrijwilligers)"),"Vast tarief"),"")</f>
        <v/>
      </c>
      <c r="O38" s="90"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0"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1"/>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59"/>
      <c r="Z38" s="49"/>
      <c r="AA38" s="37" t="str" cm="1">
        <f t="array" ref="AA38">IFERROR(IF(INDEX(SubsidieTabel!$Q$1:$T$9,MATCH($F38,SubsidieTabel!$Q$1:$Q$9,0),IFERROR(MATCH(Methode_Keuze,SubsidieTabel!$Q$1:$T$1,0),2))&lt;&gt;1=TRUE,"ja",""),"")</f>
        <v/>
      </c>
    </row>
    <row r="39" spans="1:27" ht="15" customHeight="1" x14ac:dyDescent="0.25">
      <c r="A39" s="85"/>
      <c r="B39" s="217" t="str">
        <f>IF(A39&lt;&gt;"",_xlfn.MAXIFS($B$1:B38,$A$1:A38,A39)+1,"")</f>
        <v/>
      </c>
      <c r="C39" s="50"/>
      <c r="D39" s="50"/>
      <c r="E39" s="50"/>
      <c r="F39" s="50"/>
      <c r="G39" s="280"/>
      <c r="H39" s="293"/>
      <c r="I39" s="292"/>
      <c r="J39" s="292"/>
      <c r="K39" s="200"/>
      <c r="L39" s="200"/>
      <c r="M39" s="89" t="str">
        <f>IFERROR(VLOOKUP(H39,Lijsten!$H$1:$I$100,2,0),"")</f>
        <v/>
      </c>
      <c r="N39" s="89" t="str" cm="1">
        <f t="array" ref="N39">IFERROR(_xlfn.IFS(AND(LEFT(F39,6)="Arbeid",RIGHT(F39,3)&lt;&gt;"IKS"),IFERROR(VLOOKUP($G39,Tb_KostenTypen[],2,0),"tarief"),RIGHT(F39,3)="IKS","Uurtarief",LEFT(F39,6)="Arbeid","Uurtarief",AND(LEFT(F39,8)="Bijdrage",RIGHT(F39,15)="(vrijwilligers)"),"Vast tarief"),"")</f>
        <v/>
      </c>
      <c r="O39" s="90"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0"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1"/>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59"/>
      <c r="Z39" s="49"/>
      <c r="AA39" s="37" t="str" cm="1">
        <f t="array" ref="AA39">IFERROR(IF(INDEX(SubsidieTabel!$Q$1:$T$9,MATCH($F39,SubsidieTabel!$Q$1:$Q$9,0),IFERROR(MATCH(Methode_Keuze,SubsidieTabel!$Q$1:$T$1,0),2))&lt;&gt;1=TRUE,"ja",""),"")</f>
        <v/>
      </c>
    </row>
    <row r="40" spans="1:27" ht="15" customHeight="1" x14ac:dyDescent="0.25">
      <c r="A40" s="85"/>
      <c r="B40" s="217" t="str">
        <f>IF(A40&lt;&gt;"",_xlfn.MAXIFS($B$1:B39,$A$1:A39,A40)+1,"")</f>
        <v/>
      </c>
      <c r="C40" s="50"/>
      <c r="D40" s="50"/>
      <c r="E40" s="50"/>
      <c r="F40" s="50"/>
      <c r="G40" s="280"/>
      <c r="H40" s="293"/>
      <c r="I40" s="292"/>
      <c r="J40" s="292"/>
      <c r="K40" s="200"/>
      <c r="L40" s="200"/>
      <c r="M40" s="89" t="str">
        <f>IFERROR(VLOOKUP(H40,Lijsten!$H$1:$I$100,2,0),"")</f>
        <v/>
      </c>
      <c r="N40" s="89" t="str" cm="1">
        <f t="array" ref="N40">IFERROR(_xlfn.IFS(AND(LEFT(F40,6)="Arbeid",RIGHT(F40,3)&lt;&gt;"IKS"),IFERROR(VLOOKUP($G40,Tb_KostenTypen[],2,0),"tarief"),RIGHT(F40,3)="IKS","Uurtarief",LEFT(F40,6)="Arbeid","Uurtarief",AND(LEFT(F40,8)="Bijdrage",RIGHT(F40,15)="(vrijwilligers)"),"Vast tarief"),"")</f>
        <v/>
      </c>
      <c r="O40" s="90"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0"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1"/>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59"/>
      <c r="Z40" s="49"/>
      <c r="AA40" s="37" t="str" cm="1">
        <f t="array" ref="AA40">IFERROR(IF(INDEX(SubsidieTabel!$Q$1:$T$9,MATCH($F40,SubsidieTabel!$Q$1:$Q$9,0),IFERROR(MATCH(Methode_Keuze,SubsidieTabel!$Q$1:$T$1,0),2))&lt;&gt;1=TRUE,"ja",""),"")</f>
        <v/>
      </c>
    </row>
    <row r="41" spans="1:27" ht="15" customHeight="1" x14ac:dyDescent="0.25">
      <c r="A41" s="85"/>
      <c r="B41" s="217" t="str">
        <f>IF(A41&lt;&gt;"",_xlfn.MAXIFS($B$1:B40,$A$1:A40,A41)+1,"")</f>
        <v/>
      </c>
      <c r="C41" s="50"/>
      <c r="D41" s="50"/>
      <c r="E41" s="50"/>
      <c r="F41" s="50"/>
      <c r="G41" s="280"/>
      <c r="H41" s="293"/>
      <c r="I41" s="292"/>
      <c r="J41" s="292"/>
      <c r="K41" s="200"/>
      <c r="L41" s="200"/>
      <c r="M41" s="89" t="str">
        <f>IFERROR(VLOOKUP(H41,Lijsten!$H$1:$I$100,2,0),"")</f>
        <v/>
      </c>
      <c r="N41" s="89" t="str" cm="1">
        <f t="array" ref="N41">IFERROR(_xlfn.IFS(AND(LEFT(F41,6)="Arbeid",RIGHT(F41,3)&lt;&gt;"IKS"),IFERROR(VLOOKUP($G41,Tb_KostenTypen[],2,0),"tarief"),RIGHT(F41,3)="IKS","Uurtarief",LEFT(F41,6)="Arbeid","Uurtarief",AND(LEFT(F41,8)="Bijdrage",RIGHT(F41,15)="(vrijwilligers)"),"Vast tarief"),"")</f>
        <v/>
      </c>
      <c r="O41" s="90"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0"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1"/>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59"/>
      <c r="Z41" s="49"/>
      <c r="AA41" s="37" t="str" cm="1">
        <f t="array" ref="AA41">IFERROR(IF(INDEX(SubsidieTabel!$Q$1:$T$9,MATCH($F41,SubsidieTabel!$Q$1:$Q$9,0),IFERROR(MATCH(Methode_Keuze,SubsidieTabel!$Q$1:$T$1,0),2))&lt;&gt;1=TRUE,"ja",""),"")</f>
        <v/>
      </c>
    </row>
    <row r="42" spans="1:27" ht="15" customHeight="1" x14ac:dyDescent="0.25">
      <c r="A42" s="85"/>
      <c r="B42" s="217" t="str">
        <f>IF(A42&lt;&gt;"",_xlfn.MAXIFS($B$1:B41,$A$1:A41,A42)+1,"")</f>
        <v/>
      </c>
      <c r="C42" s="50"/>
      <c r="D42" s="50"/>
      <c r="E42" s="50"/>
      <c r="F42" s="50"/>
      <c r="G42" s="280"/>
      <c r="H42" s="293"/>
      <c r="I42" s="292"/>
      <c r="J42" s="292"/>
      <c r="K42" s="200"/>
      <c r="L42" s="200"/>
      <c r="M42" s="89" t="str">
        <f>IFERROR(VLOOKUP(H42,Lijsten!$H$1:$I$100,2,0),"")</f>
        <v/>
      </c>
      <c r="N42" s="89" t="str" cm="1">
        <f t="array" ref="N42">IFERROR(_xlfn.IFS(AND(LEFT(F42,6)="Arbeid",RIGHT(F42,3)&lt;&gt;"IKS"),IFERROR(VLOOKUP($G42,Tb_KostenTypen[],2,0),"tarief"),RIGHT(F42,3)="IKS","Uurtarief",LEFT(F42,6)="Arbeid","Uurtarief",AND(LEFT(F42,8)="Bijdrage",RIGHT(F42,15)="(vrijwilligers)"),"Vast tarief"),"")</f>
        <v/>
      </c>
      <c r="O42" s="90"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0"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1"/>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59"/>
      <c r="Z42" s="49"/>
      <c r="AA42" s="37" t="str" cm="1">
        <f t="array" ref="AA42">IFERROR(IF(INDEX(SubsidieTabel!$Q$1:$T$9,MATCH($F42,SubsidieTabel!$Q$1:$Q$9,0),IFERROR(MATCH(Methode_Keuze,SubsidieTabel!$Q$1:$T$1,0),2))&lt;&gt;1=TRUE,"ja",""),"")</f>
        <v/>
      </c>
    </row>
    <row r="43" spans="1:27" ht="15" customHeight="1" x14ac:dyDescent="0.25">
      <c r="A43" s="85"/>
      <c r="B43" s="217" t="str">
        <f>IF(A43&lt;&gt;"",_xlfn.MAXIFS($B$1:B42,$A$1:A42,A43)+1,"")</f>
        <v/>
      </c>
      <c r="C43" s="50"/>
      <c r="D43" s="50"/>
      <c r="E43" s="50"/>
      <c r="F43" s="50"/>
      <c r="G43" s="280"/>
      <c r="H43" s="293"/>
      <c r="I43" s="292"/>
      <c r="J43" s="292"/>
      <c r="K43" s="200"/>
      <c r="L43" s="200"/>
      <c r="M43" s="89" t="str">
        <f>IFERROR(VLOOKUP(H43,Lijsten!$H$1:$I$100,2,0),"")</f>
        <v/>
      </c>
      <c r="N43" s="89" t="str" cm="1">
        <f t="array" ref="N43">IFERROR(_xlfn.IFS(AND(LEFT(F43,6)="Arbeid",RIGHT(F43,3)&lt;&gt;"IKS"),IFERROR(VLOOKUP($G43,Tb_KostenTypen[],2,0),"tarief"),RIGHT(F43,3)="IKS","Uurtarief",LEFT(F43,6)="Arbeid","Uurtarief",AND(LEFT(F43,8)="Bijdrage",RIGHT(F43,15)="(vrijwilligers)"),"Vast tarief"),"")</f>
        <v/>
      </c>
      <c r="O43" s="90"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0"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1"/>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59"/>
      <c r="Z43" s="49"/>
      <c r="AA43" s="37" t="str" cm="1">
        <f t="array" ref="AA43">IFERROR(IF(INDEX(SubsidieTabel!$Q$1:$T$9,MATCH($F43,SubsidieTabel!$Q$1:$Q$9,0),IFERROR(MATCH(Methode_Keuze,SubsidieTabel!$Q$1:$T$1,0),2))&lt;&gt;1=TRUE,"ja",""),"")</f>
        <v/>
      </c>
    </row>
    <row r="44" spans="1:27" ht="15" customHeight="1" x14ac:dyDescent="0.25">
      <c r="A44" s="85"/>
      <c r="B44" s="217" t="str">
        <f>IF(A44&lt;&gt;"",_xlfn.MAXIFS($B$1:B43,$A$1:A43,A44)+1,"")</f>
        <v/>
      </c>
      <c r="C44" s="50"/>
      <c r="D44" s="50"/>
      <c r="E44" s="50"/>
      <c r="F44" s="50"/>
      <c r="G44" s="280"/>
      <c r="H44" s="293"/>
      <c r="I44" s="292"/>
      <c r="J44" s="292"/>
      <c r="K44" s="200"/>
      <c r="L44" s="200"/>
      <c r="M44" s="89" t="str">
        <f>IFERROR(VLOOKUP(H44,Lijsten!$H$1:$I$100,2,0),"")</f>
        <v/>
      </c>
      <c r="N44" s="89" t="str" cm="1">
        <f t="array" ref="N44">IFERROR(_xlfn.IFS(AND(LEFT(F44,6)="Arbeid",RIGHT(F44,3)&lt;&gt;"IKS"),IFERROR(VLOOKUP($G44,Tb_KostenTypen[],2,0),"tarief"),RIGHT(F44,3)="IKS","Uurtarief",LEFT(F44,6)="Arbeid","Uurtarief",AND(LEFT(F44,8)="Bijdrage",RIGHT(F44,15)="(vrijwilligers)"),"Vast tarief"),"")</f>
        <v/>
      </c>
      <c r="O44" s="90"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0"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1"/>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59"/>
      <c r="Z44" s="49"/>
      <c r="AA44" s="37" t="str" cm="1">
        <f t="array" ref="AA44">IFERROR(IF(INDEX(SubsidieTabel!$Q$1:$T$9,MATCH($F44,SubsidieTabel!$Q$1:$Q$9,0),IFERROR(MATCH(Methode_Keuze,SubsidieTabel!$Q$1:$T$1,0),2))&lt;&gt;1=TRUE,"ja",""),"")</f>
        <v/>
      </c>
    </row>
    <row r="45" spans="1:27" ht="15" customHeight="1" x14ac:dyDescent="0.25">
      <c r="A45" s="85"/>
      <c r="B45" s="217" t="str">
        <f>IF(A45&lt;&gt;"",_xlfn.MAXIFS($B$1:B44,$A$1:A44,A45)+1,"")</f>
        <v/>
      </c>
      <c r="C45" s="50"/>
      <c r="D45" s="50"/>
      <c r="E45" s="50"/>
      <c r="F45" s="50"/>
      <c r="G45" s="280"/>
      <c r="H45" s="293"/>
      <c r="I45" s="292"/>
      <c r="J45" s="292"/>
      <c r="K45" s="200"/>
      <c r="L45" s="200"/>
      <c r="M45" s="89" t="str">
        <f>IFERROR(VLOOKUP(H45,Lijsten!$H$1:$I$100,2,0),"")</f>
        <v/>
      </c>
      <c r="N45" s="89" t="str" cm="1">
        <f t="array" ref="N45">IFERROR(_xlfn.IFS(AND(LEFT(F45,6)="Arbeid",RIGHT(F45,3)&lt;&gt;"IKS"),IFERROR(VLOOKUP($G45,Tb_KostenTypen[],2,0),"tarief"),RIGHT(F45,3)="IKS","Uurtarief",LEFT(F45,6)="Arbeid","Uurtarief",AND(LEFT(F45,8)="Bijdrage",RIGHT(F45,15)="(vrijwilligers)"),"Vast tarief"),"")</f>
        <v/>
      </c>
      <c r="O45" s="90"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0"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1"/>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59"/>
      <c r="Z45" s="49"/>
      <c r="AA45" s="37" t="str" cm="1">
        <f t="array" ref="AA45">IFERROR(IF(INDEX(SubsidieTabel!$Q$1:$T$9,MATCH($F45,SubsidieTabel!$Q$1:$Q$9,0),IFERROR(MATCH(Methode_Keuze,SubsidieTabel!$Q$1:$T$1,0),2))&lt;&gt;1=TRUE,"ja",""),"")</f>
        <v/>
      </c>
    </row>
    <row r="46" spans="1:27" ht="15" customHeight="1" x14ac:dyDescent="0.25">
      <c r="A46" s="85"/>
      <c r="B46" s="217" t="str">
        <f>IF(A46&lt;&gt;"",_xlfn.MAXIFS($B$1:B45,$A$1:A45,A46)+1,"")</f>
        <v/>
      </c>
      <c r="C46" s="50"/>
      <c r="D46" s="50"/>
      <c r="E46" s="50"/>
      <c r="F46" s="50"/>
      <c r="G46" s="280"/>
      <c r="H46" s="293"/>
      <c r="I46" s="292"/>
      <c r="J46" s="292"/>
      <c r="K46" s="200"/>
      <c r="L46" s="200"/>
      <c r="M46" s="89" t="str">
        <f>IFERROR(VLOOKUP(H46,Lijsten!$H$1:$I$100,2,0),"")</f>
        <v/>
      </c>
      <c r="N46" s="89" t="str" cm="1">
        <f t="array" ref="N46">IFERROR(_xlfn.IFS(AND(LEFT(F46,6)="Arbeid",RIGHT(F46,3)&lt;&gt;"IKS"),IFERROR(VLOOKUP($G46,Tb_KostenTypen[],2,0),"tarief"),RIGHT(F46,3)="IKS","Uurtarief",LEFT(F46,6)="Arbeid","Uurtarief",AND(LEFT(F46,8)="Bijdrage",RIGHT(F46,15)="(vrijwilligers)"),"Vast tarief"),"")</f>
        <v/>
      </c>
      <c r="O46" s="90"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0"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1"/>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59"/>
      <c r="Z46" s="49"/>
      <c r="AA46" s="37" t="str" cm="1">
        <f t="array" ref="AA46">IFERROR(IF(INDEX(SubsidieTabel!$Q$1:$T$9,MATCH($F46,SubsidieTabel!$Q$1:$Q$9,0),IFERROR(MATCH(Methode_Keuze,SubsidieTabel!$Q$1:$T$1,0),2))&lt;&gt;1=TRUE,"ja",""),"")</f>
        <v/>
      </c>
    </row>
    <row r="47" spans="1:27" ht="15" customHeight="1" x14ac:dyDescent="0.25">
      <c r="A47" s="85"/>
      <c r="B47" s="217" t="str">
        <f>IF(A47&lt;&gt;"",_xlfn.MAXIFS($B$1:B46,$A$1:A46,A47)+1,"")</f>
        <v/>
      </c>
      <c r="C47" s="50"/>
      <c r="D47" s="50"/>
      <c r="E47" s="50"/>
      <c r="F47" s="50"/>
      <c r="G47" s="280"/>
      <c r="H47" s="293"/>
      <c r="I47" s="292"/>
      <c r="J47" s="292"/>
      <c r="K47" s="200"/>
      <c r="L47" s="200"/>
      <c r="M47" s="89" t="str">
        <f>IFERROR(VLOOKUP(H47,Lijsten!$H$1:$I$100,2,0),"")</f>
        <v/>
      </c>
      <c r="N47" s="89" t="str" cm="1">
        <f t="array" ref="N47">IFERROR(_xlfn.IFS(AND(LEFT(F47,6)="Arbeid",RIGHT(F47,3)&lt;&gt;"IKS"),IFERROR(VLOOKUP($G47,Tb_KostenTypen[],2,0),"tarief"),RIGHT(F47,3)="IKS","Uurtarief",LEFT(F47,6)="Arbeid","Uurtarief",AND(LEFT(F47,8)="Bijdrage",RIGHT(F47,15)="(vrijwilligers)"),"Vast tarief"),"")</f>
        <v/>
      </c>
      <c r="O47" s="90"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0"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1"/>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59"/>
      <c r="Z47" s="49"/>
      <c r="AA47" s="37" t="str" cm="1">
        <f t="array" ref="AA47">IFERROR(IF(INDEX(SubsidieTabel!$Q$1:$T$9,MATCH($F47,SubsidieTabel!$Q$1:$Q$9,0),IFERROR(MATCH(Methode_Keuze,SubsidieTabel!$Q$1:$T$1,0),2))&lt;&gt;1=TRUE,"ja",""),"")</f>
        <v/>
      </c>
    </row>
    <row r="48" spans="1:27" ht="15" customHeight="1" x14ac:dyDescent="0.25">
      <c r="A48" s="85"/>
      <c r="B48" s="217" t="str">
        <f>IF(A48&lt;&gt;"",_xlfn.MAXIFS($B$1:B47,$A$1:A47,A48)+1,"")</f>
        <v/>
      </c>
      <c r="C48" s="50"/>
      <c r="D48" s="50"/>
      <c r="E48" s="50"/>
      <c r="F48" s="50"/>
      <c r="G48" s="280"/>
      <c r="H48" s="293"/>
      <c r="I48" s="292"/>
      <c r="J48" s="292"/>
      <c r="K48" s="200"/>
      <c r="L48" s="200"/>
      <c r="M48" s="89" t="str">
        <f>IFERROR(VLOOKUP(H48,Lijsten!$H$1:$I$100,2,0),"")</f>
        <v/>
      </c>
      <c r="N48" s="89" t="str" cm="1">
        <f t="array" ref="N48">IFERROR(_xlfn.IFS(AND(LEFT(F48,6)="Arbeid",RIGHT(F48,3)&lt;&gt;"IKS"),IFERROR(VLOOKUP($G48,Tb_KostenTypen[],2,0),"tarief"),RIGHT(F48,3)="IKS","Uurtarief",LEFT(F48,6)="Arbeid","Uurtarief",AND(LEFT(F48,8)="Bijdrage",RIGHT(F48,15)="(vrijwilligers)"),"Vast tarief"),"")</f>
        <v/>
      </c>
      <c r="O48" s="90"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0"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1"/>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59"/>
      <c r="Z48" s="49"/>
      <c r="AA48" s="37" t="str" cm="1">
        <f t="array" ref="AA48">IFERROR(IF(INDEX(SubsidieTabel!$Q$1:$T$9,MATCH($F48,SubsidieTabel!$Q$1:$Q$9,0),IFERROR(MATCH(Methode_Keuze,SubsidieTabel!$Q$1:$T$1,0),2))&lt;&gt;1=TRUE,"ja",""),"")</f>
        <v/>
      </c>
    </row>
    <row r="49" spans="1:27" ht="15" customHeight="1" x14ac:dyDescent="0.25">
      <c r="A49" s="85"/>
      <c r="B49" s="217" t="str">
        <f>IF(A49&lt;&gt;"",_xlfn.MAXIFS($B$1:B48,$A$1:A48,A49)+1,"")</f>
        <v/>
      </c>
      <c r="C49" s="50"/>
      <c r="D49" s="50"/>
      <c r="E49" s="50"/>
      <c r="F49" s="50"/>
      <c r="G49" s="280"/>
      <c r="H49" s="293"/>
      <c r="I49" s="292"/>
      <c r="J49" s="292"/>
      <c r="K49" s="200"/>
      <c r="L49" s="200"/>
      <c r="M49" s="89" t="str">
        <f>IFERROR(VLOOKUP(H49,Lijsten!$H$1:$I$100,2,0),"")</f>
        <v/>
      </c>
      <c r="N49" s="89" t="str" cm="1">
        <f t="array" ref="N49">IFERROR(_xlfn.IFS(AND(LEFT(F49,6)="Arbeid",RIGHT(F49,3)&lt;&gt;"IKS"),IFERROR(VLOOKUP($G49,Tb_KostenTypen[],2,0),"tarief"),RIGHT(F49,3)="IKS","Uurtarief",LEFT(F49,6)="Arbeid","Uurtarief",AND(LEFT(F49,8)="Bijdrage",RIGHT(F49,15)="(vrijwilligers)"),"Vast tarief"),"")</f>
        <v/>
      </c>
      <c r="O49" s="90"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0"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1"/>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59"/>
      <c r="Z49" s="49"/>
      <c r="AA49" s="37" t="str" cm="1">
        <f t="array" ref="AA49">IFERROR(IF(INDEX(SubsidieTabel!$Q$1:$T$9,MATCH($F49,SubsidieTabel!$Q$1:$Q$9,0),IFERROR(MATCH(Methode_Keuze,SubsidieTabel!$Q$1:$T$1,0),2))&lt;&gt;1=TRUE,"ja",""),"")</f>
        <v/>
      </c>
    </row>
    <row r="50" spans="1:27" ht="15" customHeight="1" x14ac:dyDescent="0.25">
      <c r="A50" s="85"/>
      <c r="B50" s="217" t="str">
        <f>IF(A50&lt;&gt;"",_xlfn.MAXIFS($B$1:B49,$A$1:A49,A50)+1,"")</f>
        <v/>
      </c>
      <c r="C50" s="50"/>
      <c r="D50" s="50"/>
      <c r="E50" s="50"/>
      <c r="F50" s="50"/>
      <c r="G50" s="280"/>
      <c r="H50" s="293"/>
      <c r="I50" s="292"/>
      <c r="J50" s="292"/>
      <c r="K50" s="200"/>
      <c r="L50" s="200"/>
      <c r="M50" s="89" t="str">
        <f>IFERROR(VLOOKUP(H50,Lijsten!$H$1:$I$100,2,0),"")</f>
        <v/>
      </c>
      <c r="N50" s="89" t="str" cm="1">
        <f t="array" ref="N50">IFERROR(_xlfn.IFS(AND(LEFT(F50,6)="Arbeid",RIGHT(F50,3)&lt;&gt;"IKS"),IFERROR(VLOOKUP($G50,Tb_KostenTypen[],2,0),"tarief"),RIGHT(F50,3)="IKS","Uurtarief",LEFT(F50,6)="Arbeid","Uurtarief",AND(LEFT(F50,8)="Bijdrage",RIGHT(F50,15)="(vrijwilligers)"),"Vast tarief"),"")</f>
        <v/>
      </c>
      <c r="O50" s="90"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0"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1"/>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59"/>
      <c r="Z50" s="49"/>
      <c r="AA50" s="37" t="str" cm="1">
        <f t="array" ref="AA50">IFERROR(IF(INDEX(SubsidieTabel!$Q$1:$T$9,MATCH($F50,SubsidieTabel!$Q$1:$Q$9,0),IFERROR(MATCH(Methode_Keuze,SubsidieTabel!$Q$1:$T$1,0),2))&lt;&gt;1=TRUE,"ja",""),"")</f>
        <v/>
      </c>
    </row>
    <row r="51" spans="1:27" ht="15" customHeight="1" x14ac:dyDescent="0.25">
      <c r="A51" s="85"/>
      <c r="B51" s="217" t="str">
        <f>IF(A51&lt;&gt;"",_xlfn.MAXIFS($B$1:B50,$A$1:A50,A51)+1,"")</f>
        <v/>
      </c>
      <c r="C51" s="50"/>
      <c r="D51" s="50"/>
      <c r="E51" s="50"/>
      <c r="F51" s="50"/>
      <c r="G51" s="280"/>
      <c r="H51" s="293"/>
      <c r="I51" s="292"/>
      <c r="J51" s="292"/>
      <c r="K51" s="200"/>
      <c r="L51" s="200"/>
      <c r="M51" s="89" t="str">
        <f>IFERROR(VLOOKUP(H51,Lijsten!$H$1:$I$100,2,0),"")</f>
        <v/>
      </c>
      <c r="N51" s="89" t="str" cm="1">
        <f t="array" ref="N51">IFERROR(_xlfn.IFS(AND(LEFT(F51,6)="Arbeid",RIGHT(F51,3)&lt;&gt;"IKS"),IFERROR(VLOOKUP($G51,Tb_KostenTypen[],2,0),"tarief"),RIGHT(F51,3)="IKS","Uurtarief",LEFT(F51,6)="Arbeid","Uurtarief",AND(LEFT(F51,8)="Bijdrage",RIGHT(F51,15)="(vrijwilligers)"),"Vast tarief"),"")</f>
        <v/>
      </c>
      <c r="O51" s="90"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0"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1"/>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59"/>
      <c r="Z51" s="49"/>
      <c r="AA51" s="37" t="str" cm="1">
        <f t="array" ref="AA51">IFERROR(IF(INDEX(SubsidieTabel!$Q$1:$T$9,MATCH($F51,SubsidieTabel!$Q$1:$Q$9,0),IFERROR(MATCH(Methode_Keuze,SubsidieTabel!$Q$1:$T$1,0),2))&lt;&gt;1=TRUE,"ja",""),"")</f>
        <v/>
      </c>
    </row>
    <row r="52" spans="1:27" ht="15" customHeight="1" x14ac:dyDescent="0.25">
      <c r="A52" s="85"/>
      <c r="B52" s="217" t="str">
        <f>IF(A52&lt;&gt;"",_xlfn.MAXIFS($B$1:B51,$A$1:A51,A52)+1,"")</f>
        <v/>
      </c>
      <c r="C52" s="50"/>
      <c r="D52" s="50"/>
      <c r="E52" s="50"/>
      <c r="F52" s="50"/>
      <c r="G52" s="280"/>
      <c r="H52" s="293"/>
      <c r="I52" s="292"/>
      <c r="J52" s="292"/>
      <c r="K52" s="200"/>
      <c r="L52" s="200"/>
      <c r="M52" s="89" t="str">
        <f>IFERROR(VLOOKUP(H52,Lijsten!$H$1:$I$100,2,0),"")</f>
        <v/>
      </c>
      <c r="N52" s="89" t="str" cm="1">
        <f t="array" ref="N52">IFERROR(_xlfn.IFS(AND(LEFT(F52,6)="Arbeid",RIGHT(F52,3)&lt;&gt;"IKS"),IFERROR(VLOOKUP($G52,Tb_KostenTypen[],2,0),"tarief"),RIGHT(F52,3)="IKS","Uurtarief",LEFT(F52,6)="Arbeid","Uurtarief",AND(LEFT(F52,8)="Bijdrage",RIGHT(F52,15)="(vrijwilligers)"),"Vast tarief"),"")</f>
        <v/>
      </c>
      <c r="O52" s="90"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0"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1"/>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59"/>
      <c r="Z52" s="49"/>
      <c r="AA52" s="37" t="str" cm="1">
        <f t="array" ref="AA52">IFERROR(IF(INDEX(SubsidieTabel!$Q$1:$T$9,MATCH($F52,SubsidieTabel!$Q$1:$Q$9,0),IFERROR(MATCH(Methode_Keuze,SubsidieTabel!$Q$1:$T$1,0),2))&lt;&gt;1=TRUE,"ja",""),"")</f>
        <v/>
      </c>
    </row>
    <row r="53" spans="1:27" ht="15" customHeight="1" x14ac:dyDescent="0.25">
      <c r="A53" s="85"/>
      <c r="B53" s="217" t="str">
        <f>IF(A53&lt;&gt;"",_xlfn.MAXIFS($B$1:B52,$A$1:A52,A53)+1,"")</f>
        <v/>
      </c>
      <c r="C53" s="50"/>
      <c r="D53" s="50"/>
      <c r="E53" s="50"/>
      <c r="F53" s="50"/>
      <c r="G53" s="280"/>
      <c r="H53" s="293"/>
      <c r="I53" s="292"/>
      <c r="J53" s="292"/>
      <c r="K53" s="200"/>
      <c r="L53" s="200"/>
      <c r="M53" s="89" t="str">
        <f>IFERROR(VLOOKUP(H53,Lijsten!$H$1:$I$100,2,0),"")</f>
        <v/>
      </c>
      <c r="N53" s="89" t="str" cm="1">
        <f t="array" ref="N53">IFERROR(_xlfn.IFS(AND(LEFT(F53,6)="Arbeid",RIGHT(F53,3)&lt;&gt;"IKS"),IFERROR(VLOOKUP($G53,Tb_KostenTypen[],2,0),"tarief"),RIGHT(F53,3)="IKS","Uurtarief",LEFT(F53,6)="Arbeid","Uurtarief",AND(LEFT(F53,8)="Bijdrage",RIGHT(F53,15)="(vrijwilligers)"),"Vast tarief"),"")</f>
        <v/>
      </c>
      <c r="O53" s="90"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0"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1"/>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59"/>
      <c r="Z53" s="49"/>
      <c r="AA53" s="37" t="str" cm="1">
        <f t="array" ref="AA53">IFERROR(IF(INDEX(SubsidieTabel!$Q$1:$T$9,MATCH($F53,SubsidieTabel!$Q$1:$Q$9,0),IFERROR(MATCH(Methode_Keuze,SubsidieTabel!$Q$1:$T$1,0),2))&lt;&gt;1=TRUE,"ja",""),"")</f>
        <v/>
      </c>
    </row>
    <row r="54" spans="1:27" ht="15" customHeight="1" x14ac:dyDescent="0.25">
      <c r="A54" s="85"/>
      <c r="B54" s="217" t="str">
        <f>IF(A54&lt;&gt;"",_xlfn.MAXIFS($B$1:B53,$A$1:A53,A54)+1,"")</f>
        <v/>
      </c>
      <c r="C54" s="50"/>
      <c r="D54" s="50"/>
      <c r="E54" s="50"/>
      <c r="F54" s="50"/>
      <c r="G54" s="280"/>
      <c r="H54" s="293"/>
      <c r="I54" s="292"/>
      <c r="J54" s="292"/>
      <c r="K54" s="200"/>
      <c r="L54" s="200"/>
      <c r="M54" s="89" t="str">
        <f>IFERROR(VLOOKUP(H54,Lijsten!$H$1:$I$100,2,0),"")</f>
        <v/>
      </c>
      <c r="N54" s="89" t="str" cm="1">
        <f t="array" ref="N54">IFERROR(_xlfn.IFS(AND(LEFT(F54,6)="Arbeid",RIGHT(F54,3)&lt;&gt;"IKS"),IFERROR(VLOOKUP($G54,Tb_KostenTypen[],2,0),"tarief"),RIGHT(F54,3)="IKS","Uurtarief",LEFT(F54,6)="Arbeid","Uurtarief",AND(LEFT(F54,8)="Bijdrage",RIGHT(F54,15)="(vrijwilligers)"),"Vast tarief"),"")</f>
        <v/>
      </c>
      <c r="O54" s="90"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0"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1"/>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59"/>
      <c r="Z54" s="49"/>
      <c r="AA54" s="37" t="str" cm="1">
        <f t="array" ref="AA54">IFERROR(IF(INDEX(SubsidieTabel!$Q$1:$T$9,MATCH($F54,SubsidieTabel!$Q$1:$Q$9,0),IFERROR(MATCH(Methode_Keuze,SubsidieTabel!$Q$1:$T$1,0),2))&lt;&gt;1=TRUE,"ja",""),"")</f>
        <v/>
      </c>
    </row>
    <row r="55" spans="1:27" ht="15" customHeight="1" x14ac:dyDescent="0.25">
      <c r="A55" s="85"/>
      <c r="B55" s="217" t="str">
        <f>IF(A55&lt;&gt;"",_xlfn.MAXIFS($B$1:B54,$A$1:A54,A55)+1,"")</f>
        <v/>
      </c>
      <c r="C55" s="50"/>
      <c r="D55" s="50"/>
      <c r="E55" s="50"/>
      <c r="F55" s="50"/>
      <c r="G55" s="280"/>
      <c r="H55" s="293"/>
      <c r="I55" s="292"/>
      <c r="J55" s="292"/>
      <c r="K55" s="200"/>
      <c r="L55" s="200"/>
      <c r="M55" s="89" t="str">
        <f>IFERROR(VLOOKUP(H55,Lijsten!$H$1:$I$100,2,0),"")</f>
        <v/>
      </c>
      <c r="N55" s="89" t="str" cm="1">
        <f t="array" ref="N55">IFERROR(_xlfn.IFS(AND(LEFT(F55,6)="Arbeid",RIGHT(F55,3)&lt;&gt;"IKS"),IFERROR(VLOOKUP($G55,Tb_KostenTypen[],2,0),"tarief"),RIGHT(F55,3)="IKS","Uurtarief",LEFT(F55,6)="Arbeid","Uurtarief",AND(LEFT(F55,8)="Bijdrage",RIGHT(F55,15)="(vrijwilligers)"),"Vast tarief"),"")</f>
        <v/>
      </c>
      <c r="O55" s="90"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0"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1"/>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59"/>
      <c r="Z55" s="49"/>
      <c r="AA55" s="37" t="str" cm="1">
        <f t="array" ref="AA55">IFERROR(IF(INDEX(SubsidieTabel!$Q$1:$T$9,MATCH($F55,SubsidieTabel!$Q$1:$Q$9,0),IFERROR(MATCH(Methode_Keuze,SubsidieTabel!$Q$1:$T$1,0),2))&lt;&gt;1=TRUE,"ja",""),"")</f>
        <v/>
      </c>
    </row>
    <row r="56" spans="1:27" ht="15" customHeight="1" x14ac:dyDescent="0.25">
      <c r="A56" s="85"/>
      <c r="B56" s="217" t="str">
        <f>IF(A56&lt;&gt;"",_xlfn.MAXIFS($B$1:B55,$A$1:A55,A56)+1,"")</f>
        <v/>
      </c>
      <c r="C56" s="50"/>
      <c r="D56" s="50"/>
      <c r="E56" s="50"/>
      <c r="F56" s="50"/>
      <c r="G56" s="280"/>
      <c r="H56" s="293"/>
      <c r="I56" s="292"/>
      <c r="J56" s="292"/>
      <c r="K56" s="200"/>
      <c r="L56" s="200"/>
      <c r="M56" s="89" t="str">
        <f>IFERROR(VLOOKUP(H56,Lijsten!$H$1:$I$100,2,0),"")</f>
        <v/>
      </c>
      <c r="N56" s="89" t="str" cm="1">
        <f t="array" ref="N56">IFERROR(_xlfn.IFS(AND(LEFT(F56,6)="Arbeid",RIGHT(F56,3)&lt;&gt;"IKS"),IFERROR(VLOOKUP($G56,Tb_KostenTypen[],2,0),"tarief"),RIGHT(F56,3)="IKS","Uurtarief",LEFT(F56,6)="Arbeid","Uurtarief",AND(LEFT(F56,8)="Bijdrage",RIGHT(F56,15)="(vrijwilligers)"),"Vast tarief"),"")</f>
        <v/>
      </c>
      <c r="O56" s="90"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0"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1"/>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59"/>
      <c r="Z56" s="49"/>
      <c r="AA56" s="37" t="str" cm="1">
        <f t="array" ref="AA56">IFERROR(IF(INDEX(SubsidieTabel!$Q$1:$T$9,MATCH($F56,SubsidieTabel!$Q$1:$Q$9,0),IFERROR(MATCH(Methode_Keuze,SubsidieTabel!$Q$1:$T$1,0),2))&lt;&gt;1=TRUE,"ja",""),"")</f>
        <v/>
      </c>
    </row>
    <row r="57" spans="1:27" ht="15" customHeight="1" x14ac:dyDescent="0.25">
      <c r="A57" s="85"/>
      <c r="B57" s="217" t="str">
        <f>IF(A57&lt;&gt;"",_xlfn.MAXIFS($B$1:B56,$A$1:A56,A57)+1,"")</f>
        <v/>
      </c>
      <c r="C57" s="50"/>
      <c r="D57" s="50"/>
      <c r="E57" s="50"/>
      <c r="F57" s="50"/>
      <c r="G57" s="280"/>
      <c r="H57" s="293"/>
      <c r="I57" s="292"/>
      <c r="J57" s="292"/>
      <c r="K57" s="200"/>
      <c r="L57" s="200"/>
      <c r="M57" s="89" t="str">
        <f>IFERROR(VLOOKUP(H57,Lijsten!$H$1:$I$100,2,0),"")</f>
        <v/>
      </c>
      <c r="N57" s="89" t="str" cm="1">
        <f t="array" ref="N57">IFERROR(_xlfn.IFS(AND(LEFT(F57,6)="Arbeid",RIGHT(F57,3)&lt;&gt;"IKS"),IFERROR(VLOOKUP($G57,Tb_KostenTypen[],2,0),"tarief"),RIGHT(F57,3)="IKS","Uurtarief",LEFT(F57,6)="Arbeid","Uurtarief",AND(LEFT(F57,8)="Bijdrage",RIGHT(F57,15)="(vrijwilligers)"),"Vast tarief"),"")</f>
        <v/>
      </c>
      <c r="O57" s="90"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0"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1"/>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59"/>
      <c r="Z57" s="49"/>
      <c r="AA57" s="37" t="str" cm="1">
        <f t="array" ref="AA57">IFERROR(IF(INDEX(SubsidieTabel!$Q$1:$T$9,MATCH($F57,SubsidieTabel!$Q$1:$Q$9,0),IFERROR(MATCH(Methode_Keuze,SubsidieTabel!$Q$1:$T$1,0),2))&lt;&gt;1=TRUE,"ja",""),"")</f>
        <v/>
      </c>
    </row>
    <row r="58" spans="1:27" ht="15" customHeight="1" x14ac:dyDescent="0.25">
      <c r="A58" s="85"/>
      <c r="B58" s="217" t="str">
        <f>IF(A58&lt;&gt;"",_xlfn.MAXIFS($B$1:B57,$A$1:A57,A58)+1,"")</f>
        <v/>
      </c>
      <c r="C58" s="50"/>
      <c r="D58" s="50"/>
      <c r="E58" s="50"/>
      <c r="F58" s="50"/>
      <c r="G58" s="280"/>
      <c r="H58" s="293"/>
      <c r="I58" s="292"/>
      <c r="J58" s="292"/>
      <c r="K58" s="200"/>
      <c r="L58" s="200"/>
      <c r="M58" s="89" t="str">
        <f>IFERROR(VLOOKUP(H58,Lijsten!$H$1:$I$100,2,0),"")</f>
        <v/>
      </c>
      <c r="N58" s="89" t="str" cm="1">
        <f t="array" ref="N58">IFERROR(_xlfn.IFS(AND(LEFT(F58,6)="Arbeid",RIGHT(F58,3)&lt;&gt;"IKS"),IFERROR(VLOOKUP($G58,Tb_KostenTypen[],2,0),"tarief"),RIGHT(F58,3)="IKS","Uurtarief",LEFT(F58,6)="Arbeid","Uurtarief",AND(LEFT(F58,8)="Bijdrage",RIGHT(F58,15)="(vrijwilligers)"),"Vast tarief"),"")</f>
        <v/>
      </c>
      <c r="O58" s="90"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0"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1"/>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59"/>
      <c r="Z58" s="49"/>
      <c r="AA58" s="37" t="str" cm="1">
        <f t="array" ref="AA58">IFERROR(IF(INDEX(SubsidieTabel!$Q$1:$T$9,MATCH($F58,SubsidieTabel!$Q$1:$Q$9,0),IFERROR(MATCH(Methode_Keuze,SubsidieTabel!$Q$1:$T$1,0),2))&lt;&gt;1=TRUE,"ja",""),"")</f>
        <v/>
      </c>
    </row>
    <row r="59" spans="1:27" ht="15" customHeight="1" x14ac:dyDescent="0.25">
      <c r="A59" s="85"/>
      <c r="B59" s="217" t="str">
        <f>IF(A59&lt;&gt;"",_xlfn.MAXIFS($B$1:B58,$A$1:A58,A59)+1,"")</f>
        <v/>
      </c>
      <c r="C59" s="50"/>
      <c r="D59" s="50"/>
      <c r="E59" s="50"/>
      <c r="F59" s="50"/>
      <c r="G59" s="280"/>
      <c r="H59" s="293"/>
      <c r="I59" s="292"/>
      <c r="J59" s="292"/>
      <c r="K59" s="200"/>
      <c r="L59" s="200"/>
      <c r="M59" s="89" t="str">
        <f>IFERROR(VLOOKUP(H59,Lijsten!$H$1:$I$100,2,0),"")</f>
        <v/>
      </c>
      <c r="N59" s="89" t="str" cm="1">
        <f t="array" ref="N59">IFERROR(_xlfn.IFS(AND(LEFT(F59,6)="Arbeid",RIGHT(F59,3)&lt;&gt;"IKS"),IFERROR(VLOOKUP($G59,Tb_KostenTypen[],2,0),"tarief"),RIGHT(F59,3)="IKS","Uurtarief",LEFT(F59,6)="Arbeid","Uurtarief",AND(LEFT(F59,8)="Bijdrage",RIGHT(F59,15)="(vrijwilligers)"),"Vast tarief"),"")</f>
        <v/>
      </c>
      <c r="O59" s="90"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0"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1"/>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59"/>
      <c r="Z59" s="49"/>
      <c r="AA59" s="37" t="str" cm="1">
        <f t="array" ref="AA59">IFERROR(IF(INDEX(SubsidieTabel!$Q$1:$T$9,MATCH($F59,SubsidieTabel!$Q$1:$Q$9,0),IFERROR(MATCH(Methode_Keuze,SubsidieTabel!$Q$1:$T$1,0),2))&lt;&gt;1=TRUE,"ja",""),"")</f>
        <v/>
      </c>
    </row>
    <row r="60" spans="1:27" ht="15" customHeight="1" x14ac:dyDescent="0.25">
      <c r="A60" s="85"/>
      <c r="B60" s="217" t="str">
        <f>IF(A60&lt;&gt;"",_xlfn.MAXIFS($B$1:B59,$A$1:A59,A60)+1,"")</f>
        <v/>
      </c>
      <c r="C60" s="50"/>
      <c r="D60" s="50"/>
      <c r="E60" s="50"/>
      <c r="F60" s="50"/>
      <c r="G60" s="280"/>
      <c r="H60" s="293"/>
      <c r="I60" s="292"/>
      <c r="J60" s="292"/>
      <c r="K60" s="200"/>
      <c r="L60" s="200"/>
      <c r="M60" s="89" t="str">
        <f>IFERROR(VLOOKUP(H60,Lijsten!$H$1:$I$100,2,0),"")</f>
        <v/>
      </c>
      <c r="N60" s="89" t="str" cm="1">
        <f t="array" ref="N60">IFERROR(_xlfn.IFS(AND(LEFT(F60,6)="Arbeid",RIGHT(F60,3)&lt;&gt;"IKS"),IFERROR(VLOOKUP($G60,Tb_KostenTypen[],2,0),"tarief"),RIGHT(F60,3)="IKS","Uurtarief",LEFT(F60,6)="Arbeid","Uurtarief",AND(LEFT(F60,8)="Bijdrage",RIGHT(F60,15)="(vrijwilligers)"),"Vast tarief"),"")</f>
        <v/>
      </c>
      <c r="O60" s="90"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0"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1"/>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59"/>
      <c r="Z60" s="49"/>
      <c r="AA60" s="37" t="str" cm="1">
        <f t="array" ref="AA60">IFERROR(IF(INDEX(SubsidieTabel!$Q$1:$T$9,MATCH($F60,SubsidieTabel!$Q$1:$Q$9,0),IFERROR(MATCH(Methode_Keuze,SubsidieTabel!$Q$1:$T$1,0),2))&lt;&gt;1=TRUE,"ja",""),"")</f>
        <v/>
      </c>
    </row>
    <row r="61" spans="1:27" ht="15" customHeight="1" x14ac:dyDescent="0.25">
      <c r="A61" s="85"/>
      <c r="B61" s="217" t="str">
        <f>IF(A61&lt;&gt;"",_xlfn.MAXIFS($B$1:B60,$A$1:A60,A61)+1,"")</f>
        <v/>
      </c>
      <c r="C61" s="50"/>
      <c r="D61" s="50"/>
      <c r="E61" s="50"/>
      <c r="F61" s="50"/>
      <c r="G61" s="280"/>
      <c r="H61" s="293"/>
      <c r="I61" s="292"/>
      <c r="J61" s="292"/>
      <c r="K61" s="200"/>
      <c r="L61" s="200"/>
      <c r="M61" s="89" t="str">
        <f>IFERROR(VLOOKUP(H61,Lijsten!$H$1:$I$100,2,0),"")</f>
        <v/>
      </c>
      <c r="N61" s="89" t="str" cm="1">
        <f t="array" ref="N61">IFERROR(_xlfn.IFS(AND(LEFT(F61,6)="Arbeid",RIGHT(F61,3)&lt;&gt;"IKS"),IFERROR(VLOOKUP($G61,Tb_KostenTypen[],2,0),"tarief"),RIGHT(F61,3)="IKS","Uurtarief",LEFT(F61,6)="Arbeid","Uurtarief",AND(LEFT(F61,8)="Bijdrage",RIGHT(F61,15)="(vrijwilligers)"),"Vast tarief"),"")</f>
        <v/>
      </c>
      <c r="O61" s="90"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0"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1"/>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59"/>
      <c r="Z61" s="49"/>
      <c r="AA61" s="37" t="str" cm="1">
        <f t="array" ref="AA61">IFERROR(IF(INDEX(SubsidieTabel!$Q$1:$T$9,MATCH($F61,SubsidieTabel!$Q$1:$Q$9,0),IFERROR(MATCH(Methode_Keuze,SubsidieTabel!$Q$1:$T$1,0),2))&lt;&gt;1=TRUE,"ja",""),"")</f>
        <v/>
      </c>
    </row>
    <row r="62" spans="1:27" ht="15" customHeight="1" x14ac:dyDescent="0.25">
      <c r="A62" s="85"/>
      <c r="B62" s="217" t="str">
        <f>IF(A62&lt;&gt;"",_xlfn.MAXIFS($B$1:B61,$A$1:A61,A62)+1,"")</f>
        <v/>
      </c>
      <c r="C62" s="50"/>
      <c r="D62" s="50"/>
      <c r="E62" s="50"/>
      <c r="F62" s="50"/>
      <c r="G62" s="280"/>
      <c r="H62" s="293"/>
      <c r="I62" s="292"/>
      <c r="J62" s="292"/>
      <c r="K62" s="200"/>
      <c r="L62" s="200"/>
      <c r="M62" s="89" t="str">
        <f>IFERROR(VLOOKUP(H62,Lijsten!$H$1:$I$100,2,0),"")</f>
        <v/>
      </c>
      <c r="N62" s="89" t="str" cm="1">
        <f t="array" ref="N62">IFERROR(_xlfn.IFS(AND(LEFT(F62,6)="Arbeid",RIGHT(F62,3)&lt;&gt;"IKS"),IFERROR(VLOOKUP($G62,Tb_KostenTypen[],2,0),"tarief"),RIGHT(F62,3)="IKS","Uurtarief",LEFT(F62,6)="Arbeid","Uurtarief",AND(LEFT(F62,8)="Bijdrage",RIGHT(F62,15)="(vrijwilligers)"),"Vast tarief"),"")</f>
        <v/>
      </c>
      <c r="O62" s="90"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0"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1"/>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59"/>
      <c r="Z62" s="49"/>
      <c r="AA62" s="37" t="str" cm="1">
        <f t="array" ref="AA62">IFERROR(IF(INDEX(SubsidieTabel!$Q$1:$T$9,MATCH($F62,SubsidieTabel!$Q$1:$Q$9,0),IFERROR(MATCH(Methode_Keuze,SubsidieTabel!$Q$1:$T$1,0),2))&lt;&gt;1=TRUE,"ja",""),"")</f>
        <v/>
      </c>
    </row>
    <row r="63" spans="1:27" ht="15" customHeight="1" x14ac:dyDescent="0.25">
      <c r="A63" s="85"/>
      <c r="B63" s="217" t="str">
        <f>IF(A63&lt;&gt;"",_xlfn.MAXIFS($B$1:B62,$A$1:A62,A63)+1,"")</f>
        <v/>
      </c>
      <c r="C63" s="50"/>
      <c r="D63" s="50"/>
      <c r="E63" s="50"/>
      <c r="F63" s="50"/>
      <c r="G63" s="280"/>
      <c r="H63" s="293"/>
      <c r="I63" s="292"/>
      <c r="J63" s="292"/>
      <c r="K63" s="200"/>
      <c r="L63" s="200"/>
      <c r="M63" s="89" t="str">
        <f>IFERROR(VLOOKUP(H63,Lijsten!$H$1:$I$100,2,0),"")</f>
        <v/>
      </c>
      <c r="N63" s="89" t="str" cm="1">
        <f t="array" ref="N63">IFERROR(_xlfn.IFS(AND(LEFT(F63,6)="Arbeid",RIGHT(F63,3)&lt;&gt;"IKS"),IFERROR(VLOOKUP($G63,Tb_KostenTypen[],2,0),"tarief"),RIGHT(F63,3)="IKS","Uurtarief",LEFT(F63,6)="Arbeid","Uurtarief",AND(LEFT(F63,8)="Bijdrage",RIGHT(F63,15)="(vrijwilligers)"),"Vast tarief"),"")</f>
        <v/>
      </c>
      <c r="O63" s="90"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0"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1"/>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59"/>
      <c r="Z63" s="49"/>
      <c r="AA63" s="37" t="str" cm="1">
        <f t="array" ref="AA63">IFERROR(IF(INDEX(SubsidieTabel!$Q$1:$T$9,MATCH($F63,SubsidieTabel!$Q$1:$Q$9,0),IFERROR(MATCH(Methode_Keuze,SubsidieTabel!$Q$1:$T$1,0),2))&lt;&gt;1=TRUE,"ja",""),"")</f>
        <v/>
      </c>
    </row>
    <row r="64" spans="1:27" ht="15" customHeight="1" x14ac:dyDescent="0.25">
      <c r="A64" s="85"/>
      <c r="B64" s="217" t="str">
        <f>IF(A64&lt;&gt;"",_xlfn.MAXIFS($B$1:B63,$A$1:A63,A64)+1,"")</f>
        <v/>
      </c>
      <c r="C64" s="50"/>
      <c r="D64" s="50"/>
      <c r="E64" s="50"/>
      <c r="F64" s="50"/>
      <c r="G64" s="280"/>
      <c r="H64" s="293"/>
      <c r="I64" s="292"/>
      <c r="J64" s="292"/>
      <c r="K64" s="200"/>
      <c r="L64" s="200"/>
      <c r="M64" s="89" t="str">
        <f>IFERROR(VLOOKUP(H64,Lijsten!$H$1:$I$100,2,0),"")</f>
        <v/>
      </c>
      <c r="N64" s="89" t="str" cm="1">
        <f t="array" ref="N64">IFERROR(_xlfn.IFS(AND(LEFT(F64,6)="Arbeid",RIGHT(F64,3)&lt;&gt;"IKS"),IFERROR(VLOOKUP($G64,Tb_KostenTypen[],2,0),"tarief"),RIGHT(F64,3)="IKS","Uurtarief",LEFT(F64,6)="Arbeid","Uurtarief",AND(LEFT(F64,8)="Bijdrage",RIGHT(F64,15)="(vrijwilligers)"),"Vast tarief"),"")</f>
        <v/>
      </c>
      <c r="O64" s="90"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0"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1"/>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59"/>
      <c r="Z64" s="49"/>
      <c r="AA64" s="37" t="str" cm="1">
        <f t="array" ref="AA64">IFERROR(IF(INDEX(SubsidieTabel!$Q$1:$T$9,MATCH($F64,SubsidieTabel!$Q$1:$Q$9,0),IFERROR(MATCH(Methode_Keuze,SubsidieTabel!$Q$1:$T$1,0),2))&lt;&gt;1=TRUE,"ja",""),"")</f>
        <v/>
      </c>
    </row>
    <row r="65" spans="1:27" ht="15" customHeight="1" x14ac:dyDescent="0.25">
      <c r="A65" s="85"/>
      <c r="B65" s="217" t="str">
        <f>IF(A65&lt;&gt;"",_xlfn.MAXIFS($B$1:B64,$A$1:A64,A65)+1,"")</f>
        <v/>
      </c>
      <c r="C65" s="50"/>
      <c r="D65" s="50"/>
      <c r="E65" s="50"/>
      <c r="F65" s="50"/>
      <c r="G65" s="280"/>
      <c r="H65" s="293"/>
      <c r="I65" s="292"/>
      <c r="J65" s="292"/>
      <c r="K65" s="200"/>
      <c r="L65" s="200"/>
      <c r="M65" s="89" t="str">
        <f>IFERROR(VLOOKUP(H65,Lijsten!$H$1:$I$100,2,0),"")</f>
        <v/>
      </c>
      <c r="N65" s="89" t="str" cm="1">
        <f t="array" ref="N65">IFERROR(_xlfn.IFS(AND(LEFT(F65,6)="Arbeid",RIGHT(F65,3)&lt;&gt;"IKS"),IFERROR(VLOOKUP($G65,Tb_KostenTypen[],2,0),"tarief"),RIGHT(F65,3)="IKS","Uurtarief",LEFT(F65,6)="Arbeid","Uurtarief",AND(LEFT(F65,8)="Bijdrage",RIGHT(F65,15)="(vrijwilligers)"),"Vast tarief"),"")</f>
        <v/>
      </c>
      <c r="O65" s="90"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0"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1"/>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59"/>
      <c r="Z65" s="49"/>
      <c r="AA65" s="37" t="str" cm="1">
        <f t="array" ref="AA65">IFERROR(IF(INDEX(SubsidieTabel!$Q$1:$T$9,MATCH($F65,SubsidieTabel!$Q$1:$Q$9,0),IFERROR(MATCH(Methode_Keuze,SubsidieTabel!$Q$1:$T$1,0),2))&lt;&gt;1=TRUE,"ja",""),"")</f>
        <v/>
      </c>
    </row>
    <row r="66" spans="1:27" ht="15" customHeight="1" x14ac:dyDescent="0.25">
      <c r="A66" s="85"/>
      <c r="B66" s="217" t="str">
        <f>IF(A66&lt;&gt;"",_xlfn.MAXIFS($B$1:B65,$A$1:A65,A66)+1,"")</f>
        <v/>
      </c>
      <c r="C66" s="50"/>
      <c r="D66" s="50"/>
      <c r="E66" s="50"/>
      <c r="F66" s="50"/>
      <c r="G66" s="280"/>
      <c r="H66" s="293"/>
      <c r="I66" s="292"/>
      <c r="J66" s="292"/>
      <c r="K66" s="200"/>
      <c r="L66" s="200"/>
      <c r="M66" s="89" t="str">
        <f>IFERROR(VLOOKUP(H66,Lijsten!$H$1:$I$100,2,0),"")</f>
        <v/>
      </c>
      <c r="N66" s="89" t="str" cm="1">
        <f t="array" ref="N66">IFERROR(_xlfn.IFS(AND(LEFT(F66,6)="Arbeid",RIGHT(F66,3)&lt;&gt;"IKS"),IFERROR(VLOOKUP($G66,Tb_KostenTypen[],2,0),"tarief"),RIGHT(F66,3)="IKS","Uurtarief",LEFT(F66,6)="Arbeid","Uurtarief",AND(LEFT(F66,8)="Bijdrage",RIGHT(F66,15)="(vrijwilligers)"),"Vast tarief"),"")</f>
        <v/>
      </c>
      <c r="O66" s="90"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0"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1"/>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59"/>
      <c r="Z66" s="49"/>
      <c r="AA66" s="37" t="str" cm="1">
        <f t="array" ref="AA66">IFERROR(IF(INDEX(SubsidieTabel!$Q$1:$T$9,MATCH($F66,SubsidieTabel!$Q$1:$Q$9,0),IFERROR(MATCH(Methode_Keuze,SubsidieTabel!$Q$1:$T$1,0),2))&lt;&gt;1=TRUE,"ja",""),"")</f>
        <v/>
      </c>
    </row>
    <row r="67" spans="1:27" ht="15" customHeight="1" x14ac:dyDescent="0.25">
      <c r="A67" s="85"/>
      <c r="B67" s="217" t="str">
        <f>IF(A67&lt;&gt;"",_xlfn.MAXIFS($B$1:B66,$A$1:A66,A67)+1,"")</f>
        <v/>
      </c>
      <c r="C67" s="50"/>
      <c r="D67" s="50"/>
      <c r="E67" s="50"/>
      <c r="F67" s="50"/>
      <c r="G67" s="280"/>
      <c r="H67" s="293"/>
      <c r="I67" s="292"/>
      <c r="J67" s="292"/>
      <c r="K67" s="200"/>
      <c r="L67" s="200"/>
      <c r="M67" s="89" t="str">
        <f>IFERROR(VLOOKUP(H67,Lijsten!$H$1:$I$100,2,0),"")</f>
        <v/>
      </c>
      <c r="N67" s="89" t="str" cm="1">
        <f t="array" ref="N67">IFERROR(_xlfn.IFS(AND(LEFT(F67,6)="Arbeid",RIGHT(F67,3)&lt;&gt;"IKS"),IFERROR(VLOOKUP($G67,Tb_KostenTypen[],2,0),"tarief"),RIGHT(F67,3)="IKS","Uurtarief",LEFT(F67,6)="Arbeid","Uurtarief",AND(LEFT(F67,8)="Bijdrage",RIGHT(F67,15)="(vrijwilligers)"),"Vast tarief"),"")</f>
        <v/>
      </c>
      <c r="O67" s="90"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0"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1"/>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59"/>
      <c r="Z67" s="49"/>
      <c r="AA67" s="37" t="str" cm="1">
        <f t="array" ref="AA67">IFERROR(IF(INDEX(SubsidieTabel!$Q$1:$T$9,MATCH($F67,SubsidieTabel!$Q$1:$Q$9,0),IFERROR(MATCH(Methode_Keuze,SubsidieTabel!$Q$1:$T$1,0),2))&lt;&gt;1=TRUE,"ja",""),"")</f>
        <v/>
      </c>
    </row>
    <row r="68" spans="1:27" ht="15" customHeight="1" x14ac:dyDescent="0.25">
      <c r="A68" s="85"/>
      <c r="B68" s="217" t="str">
        <f>IF(A68&lt;&gt;"",_xlfn.MAXIFS($B$1:B67,$A$1:A67,A68)+1,"")</f>
        <v/>
      </c>
      <c r="C68" s="50"/>
      <c r="D68" s="50"/>
      <c r="E68" s="50"/>
      <c r="F68" s="50"/>
      <c r="G68" s="280"/>
      <c r="H68" s="293"/>
      <c r="I68" s="292"/>
      <c r="J68" s="292"/>
      <c r="K68" s="200"/>
      <c r="L68" s="200"/>
      <c r="M68" s="89" t="str">
        <f>IFERROR(VLOOKUP(H68,Lijsten!$H$1:$I$100,2,0),"")</f>
        <v/>
      </c>
      <c r="N68" s="89" t="str" cm="1">
        <f t="array" ref="N68">IFERROR(_xlfn.IFS(AND(LEFT(F68,6)="Arbeid",RIGHT(F68,3)&lt;&gt;"IKS"),IFERROR(VLOOKUP($G68,Tb_KostenTypen[],2,0),"tarief"),RIGHT(F68,3)="IKS","Uurtarief",LEFT(F68,6)="Arbeid","Uurtarief",AND(LEFT(F68,8)="Bijdrage",RIGHT(F68,15)="(vrijwilligers)"),"Vast tarief"),"")</f>
        <v/>
      </c>
      <c r="O68" s="90"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0"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1"/>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59"/>
      <c r="Z68" s="49"/>
      <c r="AA68" s="37" t="str" cm="1">
        <f t="array" ref="AA68">IFERROR(IF(INDEX(SubsidieTabel!$Q$1:$T$9,MATCH($F68,SubsidieTabel!$Q$1:$Q$9,0),IFERROR(MATCH(Methode_Keuze,SubsidieTabel!$Q$1:$T$1,0),2))&lt;&gt;1=TRUE,"ja",""),"")</f>
        <v/>
      </c>
    </row>
    <row r="69" spans="1:27" ht="15" customHeight="1" x14ac:dyDescent="0.25">
      <c r="A69" s="85"/>
      <c r="B69" s="217" t="str">
        <f>IF(A69&lt;&gt;"",_xlfn.MAXIFS($B$1:B68,$A$1:A68,A69)+1,"")</f>
        <v/>
      </c>
      <c r="C69" s="50"/>
      <c r="D69" s="50"/>
      <c r="E69" s="50"/>
      <c r="F69" s="50"/>
      <c r="G69" s="280"/>
      <c r="H69" s="293"/>
      <c r="I69" s="292"/>
      <c r="J69" s="292"/>
      <c r="K69" s="200"/>
      <c r="L69" s="200"/>
      <c r="M69" s="89" t="str">
        <f>IFERROR(VLOOKUP(H69,Lijsten!$H$1:$I$100,2,0),"")</f>
        <v/>
      </c>
      <c r="N69" s="89" t="str" cm="1">
        <f t="array" ref="N69">IFERROR(_xlfn.IFS(AND(LEFT(F69,6)="Arbeid",RIGHT(F69,3)&lt;&gt;"IKS"),IFERROR(VLOOKUP($G69,Tb_KostenTypen[],2,0),"tarief"),RIGHT(F69,3)="IKS","Uurtarief",LEFT(F69,6)="Arbeid","Uurtarief",AND(LEFT(F69,8)="Bijdrage",RIGHT(F69,15)="(vrijwilligers)"),"Vast tarief"),"")</f>
        <v/>
      </c>
      <c r="O69" s="90"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0"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1"/>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59"/>
      <c r="Z69" s="49"/>
      <c r="AA69" s="37" t="str" cm="1">
        <f t="array" ref="AA69">IFERROR(IF(INDEX(SubsidieTabel!$Q$1:$T$9,MATCH($F69,SubsidieTabel!$Q$1:$Q$9,0),IFERROR(MATCH(Methode_Keuze,SubsidieTabel!$Q$1:$T$1,0),2))&lt;&gt;1=TRUE,"ja",""),"")</f>
        <v/>
      </c>
    </row>
    <row r="70" spans="1:27" ht="15" customHeight="1" x14ac:dyDescent="0.25">
      <c r="A70" s="85"/>
      <c r="B70" s="217" t="str">
        <f>IF(A70&lt;&gt;"",_xlfn.MAXIFS($B$1:B69,$A$1:A69,A70)+1,"")</f>
        <v/>
      </c>
      <c r="C70" s="50"/>
      <c r="D70" s="50"/>
      <c r="E70" s="50"/>
      <c r="F70" s="50"/>
      <c r="G70" s="280"/>
      <c r="H70" s="293"/>
      <c r="I70" s="292"/>
      <c r="J70" s="292"/>
      <c r="K70" s="200"/>
      <c r="L70" s="200"/>
      <c r="M70" s="89" t="str">
        <f>IFERROR(VLOOKUP(H70,Lijsten!$H$1:$I$100,2,0),"")</f>
        <v/>
      </c>
      <c r="N70" s="89" t="str" cm="1">
        <f t="array" ref="N70">IFERROR(_xlfn.IFS(AND(LEFT(F70,6)="Arbeid",RIGHT(F70,3)&lt;&gt;"IKS"),IFERROR(VLOOKUP($G70,Tb_KostenTypen[],2,0),"tarief"),RIGHT(F70,3)="IKS","Uurtarief",LEFT(F70,6)="Arbeid","Uurtarief",AND(LEFT(F70,8)="Bijdrage",RIGHT(F70,15)="(vrijwilligers)"),"Vast tarief"),"")</f>
        <v/>
      </c>
      <c r="O70" s="90"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0"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1"/>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59"/>
      <c r="Z70" s="49"/>
      <c r="AA70" s="37" t="str" cm="1">
        <f t="array" ref="AA70">IFERROR(IF(INDEX(SubsidieTabel!$Q$1:$T$9,MATCH($F70,SubsidieTabel!$Q$1:$Q$9,0),IFERROR(MATCH(Methode_Keuze,SubsidieTabel!$Q$1:$T$1,0),2))&lt;&gt;1=TRUE,"ja",""),"")</f>
        <v/>
      </c>
    </row>
    <row r="71" spans="1:27" ht="15" customHeight="1" x14ac:dyDescent="0.25">
      <c r="A71" s="85"/>
      <c r="B71" s="217" t="str">
        <f>IF(A71&lt;&gt;"",_xlfn.MAXIFS($B$1:B70,$A$1:A70,A71)+1,"")</f>
        <v/>
      </c>
      <c r="C71" s="50"/>
      <c r="D71" s="50"/>
      <c r="E71" s="50"/>
      <c r="F71" s="50"/>
      <c r="G71" s="280"/>
      <c r="H71" s="293"/>
      <c r="I71" s="292"/>
      <c r="J71" s="292"/>
      <c r="K71" s="200"/>
      <c r="L71" s="200"/>
      <c r="M71" s="89" t="str">
        <f>IFERROR(VLOOKUP(H71,Lijsten!$H$1:$I$100,2,0),"")</f>
        <v/>
      </c>
      <c r="N71" s="89" t="str" cm="1">
        <f t="array" ref="N71">IFERROR(_xlfn.IFS(AND(LEFT(F71,6)="Arbeid",RIGHT(F71,3)&lt;&gt;"IKS"),IFERROR(VLOOKUP($G71,Tb_KostenTypen[],2,0),"tarief"),RIGHT(F71,3)="IKS","Uurtarief",LEFT(F71,6)="Arbeid","Uurtarief",AND(LEFT(F71,8)="Bijdrage",RIGHT(F71,15)="(vrijwilligers)"),"Vast tarief"),"")</f>
        <v/>
      </c>
      <c r="O71" s="90"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0"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1"/>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59"/>
      <c r="Z71" s="49"/>
      <c r="AA71" s="37" t="str" cm="1">
        <f t="array" ref="AA71">IFERROR(IF(INDEX(SubsidieTabel!$Q$1:$T$9,MATCH($F71,SubsidieTabel!$Q$1:$Q$9,0),IFERROR(MATCH(Methode_Keuze,SubsidieTabel!$Q$1:$T$1,0),2))&lt;&gt;1=TRUE,"ja",""),"")</f>
        <v/>
      </c>
    </row>
    <row r="72" spans="1:27" ht="15" customHeight="1" x14ac:dyDescent="0.25">
      <c r="A72" s="85"/>
      <c r="B72" s="217" t="str">
        <f>IF(A72&lt;&gt;"",_xlfn.MAXIFS($B$1:B71,$A$1:A71,A72)+1,"")</f>
        <v/>
      </c>
      <c r="C72" s="50"/>
      <c r="D72" s="50"/>
      <c r="E72" s="50"/>
      <c r="F72" s="50"/>
      <c r="G72" s="280"/>
      <c r="H72" s="293"/>
      <c r="I72" s="292"/>
      <c r="J72" s="292"/>
      <c r="K72" s="200"/>
      <c r="L72" s="200"/>
      <c r="M72" s="89" t="str">
        <f>IFERROR(VLOOKUP(H72,Lijsten!$H$1:$I$100,2,0),"")</f>
        <v/>
      </c>
      <c r="N72" s="89" t="str" cm="1">
        <f t="array" ref="N72">IFERROR(_xlfn.IFS(AND(LEFT(F72,6)="Arbeid",RIGHT(F72,3)&lt;&gt;"IKS"),IFERROR(VLOOKUP($G72,Tb_KostenTypen[],2,0),"tarief"),RIGHT(F72,3)="IKS","Uurtarief",LEFT(F72,6)="Arbeid","Uurtarief",AND(LEFT(F72,8)="Bijdrage",RIGHT(F72,15)="(vrijwilligers)"),"Vast tarief"),"")</f>
        <v/>
      </c>
      <c r="O72" s="90"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0"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1"/>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59"/>
      <c r="Z72" s="49"/>
      <c r="AA72" s="37" t="str" cm="1">
        <f t="array" ref="AA72">IFERROR(IF(INDEX(SubsidieTabel!$Q$1:$T$9,MATCH($F72,SubsidieTabel!$Q$1:$Q$9,0),IFERROR(MATCH(Methode_Keuze,SubsidieTabel!$Q$1:$T$1,0),2))&lt;&gt;1=TRUE,"ja",""),"")</f>
        <v/>
      </c>
    </row>
    <row r="73" spans="1:27" ht="15" customHeight="1" x14ac:dyDescent="0.25">
      <c r="A73" s="85"/>
      <c r="B73" s="217" t="str">
        <f>IF(A73&lt;&gt;"",_xlfn.MAXIFS($B$1:B72,$A$1:A72,A73)+1,"")</f>
        <v/>
      </c>
      <c r="C73" s="50"/>
      <c r="D73" s="50"/>
      <c r="E73" s="50"/>
      <c r="F73" s="50"/>
      <c r="G73" s="280"/>
      <c r="H73" s="293"/>
      <c r="I73" s="292"/>
      <c r="J73" s="292"/>
      <c r="K73" s="200"/>
      <c r="L73" s="200"/>
      <c r="M73" s="89" t="str">
        <f>IFERROR(VLOOKUP(H73,Lijsten!$H$1:$I$100,2,0),"")</f>
        <v/>
      </c>
      <c r="N73" s="89" t="str" cm="1">
        <f t="array" ref="N73">IFERROR(_xlfn.IFS(AND(LEFT(F73,6)="Arbeid",RIGHT(F73,3)&lt;&gt;"IKS"),IFERROR(VLOOKUP($G73,Tb_KostenTypen[],2,0),"tarief"),RIGHT(F73,3)="IKS","Uurtarief",LEFT(F73,6)="Arbeid","Uurtarief",AND(LEFT(F73,8)="Bijdrage",RIGHT(F73,15)="(vrijwilligers)"),"Vast tarief"),"")</f>
        <v/>
      </c>
      <c r="O73" s="90"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0"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1"/>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59"/>
      <c r="Z73" s="49"/>
      <c r="AA73" s="37" t="str" cm="1">
        <f t="array" ref="AA73">IFERROR(IF(INDEX(SubsidieTabel!$Q$1:$T$9,MATCH($F73,SubsidieTabel!$Q$1:$Q$9,0),IFERROR(MATCH(Methode_Keuze,SubsidieTabel!$Q$1:$T$1,0),2))&lt;&gt;1=TRUE,"ja",""),"")</f>
        <v/>
      </c>
    </row>
    <row r="74" spans="1:27" ht="15" customHeight="1" x14ac:dyDescent="0.25">
      <c r="A74" s="85"/>
      <c r="B74" s="217" t="str">
        <f>IF(A74&lt;&gt;"",_xlfn.MAXIFS($B$1:B73,$A$1:A73,A74)+1,"")</f>
        <v/>
      </c>
      <c r="C74" s="50"/>
      <c r="D74" s="50"/>
      <c r="E74" s="50"/>
      <c r="F74" s="50"/>
      <c r="G74" s="280"/>
      <c r="H74" s="293"/>
      <c r="I74" s="292"/>
      <c r="J74" s="292"/>
      <c r="K74" s="200"/>
      <c r="L74" s="200"/>
      <c r="M74" s="89" t="str">
        <f>IFERROR(VLOOKUP(H74,Lijsten!$H$1:$I$100,2,0),"")</f>
        <v/>
      </c>
      <c r="N74" s="89" t="str" cm="1">
        <f t="array" ref="N74">IFERROR(_xlfn.IFS(AND(LEFT(F74,6)="Arbeid",RIGHT(F74,3)&lt;&gt;"IKS"),IFERROR(VLOOKUP($G74,Tb_KostenTypen[],2,0),"tarief"),RIGHT(F74,3)="IKS","Uurtarief",LEFT(F74,6)="Arbeid","Uurtarief",AND(LEFT(F74,8)="Bijdrage",RIGHT(F74,15)="(vrijwilligers)"),"Vast tarief"),"")</f>
        <v/>
      </c>
      <c r="O74" s="90"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0"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1"/>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59"/>
      <c r="Z74" s="49"/>
      <c r="AA74" s="37" t="str" cm="1">
        <f t="array" ref="AA74">IFERROR(IF(INDEX(SubsidieTabel!$Q$1:$T$9,MATCH($F74,SubsidieTabel!$Q$1:$Q$9,0),IFERROR(MATCH(Methode_Keuze,SubsidieTabel!$Q$1:$T$1,0),2))&lt;&gt;1=TRUE,"ja",""),"")</f>
        <v/>
      </c>
    </row>
    <row r="75" spans="1:27" ht="15" customHeight="1" x14ac:dyDescent="0.25">
      <c r="A75" s="85"/>
      <c r="B75" s="217" t="str">
        <f>IF(A75&lt;&gt;"",_xlfn.MAXIFS($B$1:B74,$A$1:A74,A75)+1,"")</f>
        <v/>
      </c>
      <c r="C75" s="50"/>
      <c r="D75" s="50"/>
      <c r="E75" s="50"/>
      <c r="F75" s="50"/>
      <c r="G75" s="280"/>
      <c r="H75" s="293"/>
      <c r="I75" s="292"/>
      <c r="J75" s="292"/>
      <c r="K75" s="200"/>
      <c r="L75" s="200"/>
      <c r="M75" s="89" t="str">
        <f>IFERROR(VLOOKUP(H75,Lijsten!$H$1:$I$100,2,0),"")</f>
        <v/>
      </c>
      <c r="N75" s="89" t="str" cm="1">
        <f t="array" ref="N75">IFERROR(_xlfn.IFS(AND(LEFT(F75,6)="Arbeid",RIGHT(F75,3)&lt;&gt;"IKS"),IFERROR(VLOOKUP($G75,Tb_KostenTypen[],2,0),"tarief"),RIGHT(F75,3)="IKS","Uurtarief",LEFT(F75,6)="Arbeid","Uurtarief",AND(LEFT(F75,8)="Bijdrage",RIGHT(F75,15)="(vrijwilligers)"),"Vast tarief"),"")</f>
        <v/>
      </c>
      <c r="O75" s="90"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0"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1"/>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59"/>
      <c r="Z75" s="49"/>
      <c r="AA75" s="37" t="str" cm="1">
        <f t="array" ref="AA75">IFERROR(IF(INDEX(SubsidieTabel!$Q$1:$T$9,MATCH($F75,SubsidieTabel!$Q$1:$Q$9,0),IFERROR(MATCH(Methode_Keuze,SubsidieTabel!$Q$1:$T$1,0),2))&lt;&gt;1=TRUE,"ja",""),"")</f>
        <v/>
      </c>
    </row>
    <row r="76" spans="1:27" ht="15" customHeight="1" x14ac:dyDescent="0.25">
      <c r="A76" s="85"/>
      <c r="B76" s="217" t="str">
        <f>IF(A76&lt;&gt;"",_xlfn.MAXIFS($B$1:B75,$A$1:A75,A76)+1,"")</f>
        <v/>
      </c>
      <c r="C76" s="50"/>
      <c r="D76" s="50"/>
      <c r="E76" s="50"/>
      <c r="F76" s="50"/>
      <c r="G76" s="280"/>
      <c r="H76" s="293"/>
      <c r="I76" s="292"/>
      <c r="J76" s="292"/>
      <c r="K76" s="200"/>
      <c r="L76" s="200"/>
      <c r="M76" s="89" t="str">
        <f>IFERROR(VLOOKUP(H76,Lijsten!$H$1:$I$100,2,0),"")</f>
        <v/>
      </c>
      <c r="N76" s="89" t="str" cm="1">
        <f t="array" ref="N76">IFERROR(_xlfn.IFS(AND(LEFT(F76,6)="Arbeid",RIGHT(F76,3)&lt;&gt;"IKS"),IFERROR(VLOOKUP($G76,Tb_KostenTypen[],2,0),"tarief"),RIGHT(F76,3)="IKS","Uurtarief",LEFT(F76,6)="Arbeid","Uurtarief",AND(LEFT(F76,8)="Bijdrage",RIGHT(F76,15)="(vrijwilligers)"),"Vast tarief"),"")</f>
        <v/>
      </c>
      <c r="O76" s="90"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0"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1"/>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59"/>
      <c r="Z76" s="49"/>
      <c r="AA76" s="37" t="str" cm="1">
        <f t="array" ref="AA76">IFERROR(IF(INDEX(SubsidieTabel!$Q$1:$T$9,MATCH($F76,SubsidieTabel!$Q$1:$Q$9,0),IFERROR(MATCH(Methode_Keuze,SubsidieTabel!$Q$1:$T$1,0),2))&lt;&gt;1=TRUE,"ja",""),"")</f>
        <v/>
      </c>
    </row>
    <row r="77" spans="1:27" ht="15" customHeight="1" x14ac:dyDescent="0.25">
      <c r="A77" s="85"/>
      <c r="B77" s="217" t="str">
        <f>IF(A77&lt;&gt;"",_xlfn.MAXIFS($B$1:B76,$A$1:A76,A77)+1,"")</f>
        <v/>
      </c>
      <c r="C77" s="50"/>
      <c r="D77" s="50"/>
      <c r="E77" s="50"/>
      <c r="F77" s="50"/>
      <c r="G77" s="280"/>
      <c r="H77" s="293"/>
      <c r="I77" s="292"/>
      <c r="J77" s="292"/>
      <c r="K77" s="200"/>
      <c r="L77" s="200"/>
      <c r="M77" s="89" t="str">
        <f>IFERROR(VLOOKUP(H77,Lijsten!$H$1:$I$100,2,0),"")</f>
        <v/>
      </c>
      <c r="N77" s="89" t="str" cm="1">
        <f t="array" ref="N77">IFERROR(_xlfn.IFS(AND(LEFT(F77,6)="Arbeid",RIGHT(F77,3)&lt;&gt;"IKS"),IFERROR(VLOOKUP($G77,Tb_KostenTypen[],2,0),"tarief"),RIGHT(F77,3)="IKS","Uurtarief",LEFT(F77,6)="Arbeid","Uurtarief",AND(LEFT(F77,8)="Bijdrage",RIGHT(F77,15)="(vrijwilligers)"),"Vast tarief"),"")</f>
        <v/>
      </c>
      <c r="O77" s="90"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0"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1"/>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59"/>
      <c r="Z77" s="49"/>
      <c r="AA77" s="37" t="str" cm="1">
        <f t="array" ref="AA77">IFERROR(IF(INDEX(SubsidieTabel!$Q$1:$T$9,MATCH($F77,SubsidieTabel!$Q$1:$Q$9,0),IFERROR(MATCH(Methode_Keuze,SubsidieTabel!$Q$1:$T$1,0),2))&lt;&gt;1=TRUE,"ja",""),"")</f>
        <v/>
      </c>
    </row>
    <row r="78" spans="1:27" ht="15" customHeight="1" x14ac:dyDescent="0.25">
      <c r="A78" s="85"/>
      <c r="B78" s="217" t="str">
        <f>IF(A78&lt;&gt;"",_xlfn.MAXIFS($B$1:B77,$A$1:A77,A78)+1,"")</f>
        <v/>
      </c>
      <c r="C78" s="50"/>
      <c r="D78" s="50"/>
      <c r="E78" s="50"/>
      <c r="F78" s="50"/>
      <c r="G78" s="280"/>
      <c r="H78" s="293"/>
      <c r="I78" s="292"/>
      <c r="J78" s="292"/>
      <c r="K78" s="200"/>
      <c r="L78" s="200"/>
      <c r="M78" s="89" t="str">
        <f>IFERROR(VLOOKUP(H78,Lijsten!$H$1:$I$100,2,0),"")</f>
        <v/>
      </c>
      <c r="N78" s="89" t="str" cm="1">
        <f t="array" ref="N78">IFERROR(_xlfn.IFS(AND(LEFT(F78,6)="Arbeid",RIGHT(F78,3)&lt;&gt;"IKS"),IFERROR(VLOOKUP($G78,Tb_KostenTypen[],2,0),"tarief"),RIGHT(F78,3)="IKS","Uurtarief",LEFT(F78,6)="Arbeid","Uurtarief",AND(LEFT(F78,8)="Bijdrage",RIGHT(F78,15)="(vrijwilligers)"),"Vast tarief"),"")</f>
        <v/>
      </c>
      <c r="O78" s="90"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0"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1"/>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59"/>
      <c r="Z78" s="49"/>
      <c r="AA78" s="37" t="str" cm="1">
        <f t="array" ref="AA78">IFERROR(IF(INDEX(SubsidieTabel!$Q$1:$T$9,MATCH($F78,SubsidieTabel!$Q$1:$Q$9,0),IFERROR(MATCH(Methode_Keuze,SubsidieTabel!$Q$1:$T$1,0),2))&lt;&gt;1=TRUE,"ja",""),"")</f>
        <v/>
      </c>
    </row>
    <row r="79" spans="1:27" ht="15" customHeight="1" x14ac:dyDescent="0.25">
      <c r="A79" s="85"/>
      <c r="B79" s="217" t="str">
        <f>IF(A79&lt;&gt;"",_xlfn.MAXIFS($B$1:B78,$A$1:A78,A79)+1,"")</f>
        <v/>
      </c>
      <c r="C79" s="50"/>
      <c r="D79" s="50"/>
      <c r="E79" s="50"/>
      <c r="F79" s="50"/>
      <c r="G79" s="280"/>
      <c r="H79" s="293"/>
      <c r="I79" s="292"/>
      <c r="J79" s="292"/>
      <c r="K79" s="200"/>
      <c r="L79" s="200"/>
      <c r="M79" s="89" t="str">
        <f>IFERROR(VLOOKUP(H79,Lijsten!$H$1:$I$100,2,0),"")</f>
        <v/>
      </c>
      <c r="N79" s="89" t="str" cm="1">
        <f t="array" ref="N79">IFERROR(_xlfn.IFS(AND(LEFT(F79,6)="Arbeid",RIGHT(F79,3)&lt;&gt;"IKS"),IFERROR(VLOOKUP($G79,Tb_KostenTypen[],2,0),"tarief"),RIGHT(F79,3)="IKS","Uurtarief",LEFT(F79,6)="Arbeid","Uurtarief",AND(LEFT(F79,8)="Bijdrage",RIGHT(F79,15)="(vrijwilligers)"),"Vast tarief"),"")</f>
        <v/>
      </c>
      <c r="O79" s="90"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0"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1"/>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59"/>
      <c r="Z79" s="49"/>
      <c r="AA79" s="37" t="str" cm="1">
        <f t="array" ref="AA79">IFERROR(IF(INDEX(SubsidieTabel!$Q$1:$T$9,MATCH($F79,SubsidieTabel!$Q$1:$Q$9,0),IFERROR(MATCH(Methode_Keuze,SubsidieTabel!$Q$1:$T$1,0),2))&lt;&gt;1=TRUE,"ja",""),"")</f>
        <v/>
      </c>
    </row>
    <row r="80" spans="1:27" ht="15" customHeight="1" x14ac:dyDescent="0.25">
      <c r="A80" s="85"/>
      <c r="B80" s="217" t="str">
        <f>IF(A80&lt;&gt;"",_xlfn.MAXIFS($B$1:B79,$A$1:A79,A80)+1,"")</f>
        <v/>
      </c>
      <c r="C80" s="50"/>
      <c r="D80" s="50"/>
      <c r="E80" s="50"/>
      <c r="F80" s="50"/>
      <c r="G80" s="280"/>
      <c r="H80" s="293"/>
      <c r="I80" s="292"/>
      <c r="J80" s="292"/>
      <c r="K80" s="200"/>
      <c r="L80" s="200"/>
      <c r="M80" s="89" t="str">
        <f>IFERROR(VLOOKUP(H80,Lijsten!$H$1:$I$100,2,0),"")</f>
        <v/>
      </c>
      <c r="N80" s="89" t="str" cm="1">
        <f t="array" ref="N80">IFERROR(_xlfn.IFS(AND(LEFT(F80,6)="Arbeid",RIGHT(F80,3)&lt;&gt;"IKS"),IFERROR(VLOOKUP($G80,Tb_KostenTypen[],2,0),"tarief"),RIGHT(F80,3)="IKS","Uurtarief",LEFT(F80,6)="Arbeid","Uurtarief",AND(LEFT(F80,8)="Bijdrage",RIGHT(F80,15)="(vrijwilligers)"),"Vast tarief"),"")</f>
        <v/>
      </c>
      <c r="O80" s="90"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0"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1"/>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59"/>
      <c r="Z80" s="49"/>
      <c r="AA80" s="37" t="str" cm="1">
        <f t="array" ref="AA80">IFERROR(IF(INDEX(SubsidieTabel!$Q$1:$T$9,MATCH($F80,SubsidieTabel!$Q$1:$Q$9,0),IFERROR(MATCH(Methode_Keuze,SubsidieTabel!$Q$1:$T$1,0),2))&lt;&gt;1=TRUE,"ja",""),"")</f>
        <v/>
      </c>
    </row>
    <row r="81" spans="1:27" ht="15" customHeight="1" x14ac:dyDescent="0.25">
      <c r="A81" s="85"/>
      <c r="B81" s="217" t="str">
        <f>IF(A81&lt;&gt;"",_xlfn.MAXIFS($B$1:B80,$A$1:A80,A81)+1,"")</f>
        <v/>
      </c>
      <c r="C81" s="50"/>
      <c r="D81" s="50"/>
      <c r="E81" s="50"/>
      <c r="F81" s="50"/>
      <c r="G81" s="280"/>
      <c r="H81" s="293"/>
      <c r="I81" s="292"/>
      <c r="J81" s="292"/>
      <c r="K81" s="200"/>
      <c r="L81" s="200"/>
      <c r="M81" s="89" t="str">
        <f>IFERROR(VLOOKUP(H81,Lijsten!$H$1:$I$100,2,0),"")</f>
        <v/>
      </c>
      <c r="N81" s="89" t="str" cm="1">
        <f t="array" ref="N81">IFERROR(_xlfn.IFS(AND(LEFT(F81,6)="Arbeid",RIGHT(F81,3)&lt;&gt;"IKS"),IFERROR(VLOOKUP($G81,Tb_KostenTypen[],2,0),"tarief"),RIGHT(F81,3)="IKS","Uurtarief",LEFT(F81,6)="Arbeid","Uurtarief",AND(LEFT(F81,8)="Bijdrage",RIGHT(F81,15)="(vrijwilligers)"),"Vast tarief"),"")</f>
        <v/>
      </c>
      <c r="O81" s="90"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0"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1"/>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59"/>
      <c r="Z81" s="49"/>
      <c r="AA81" s="37" t="str" cm="1">
        <f t="array" ref="AA81">IFERROR(IF(INDEX(SubsidieTabel!$Q$1:$T$9,MATCH($F81,SubsidieTabel!$Q$1:$Q$9,0),IFERROR(MATCH(Methode_Keuze,SubsidieTabel!$Q$1:$T$1,0),2))&lt;&gt;1=TRUE,"ja",""),"")</f>
        <v/>
      </c>
    </row>
    <row r="82" spans="1:27" ht="15" customHeight="1" x14ac:dyDescent="0.25">
      <c r="A82" s="85"/>
      <c r="B82" s="217" t="str">
        <f>IF(A82&lt;&gt;"",_xlfn.MAXIFS($B$1:B81,$A$1:A81,A82)+1,"")</f>
        <v/>
      </c>
      <c r="C82" s="50"/>
      <c r="D82" s="50"/>
      <c r="E82" s="50"/>
      <c r="F82" s="50"/>
      <c r="G82" s="280"/>
      <c r="H82" s="293"/>
      <c r="I82" s="292"/>
      <c r="J82" s="292"/>
      <c r="K82" s="200"/>
      <c r="L82" s="200"/>
      <c r="M82" s="89" t="str">
        <f>IFERROR(VLOOKUP(H82,Lijsten!$H$1:$I$100,2,0),"")</f>
        <v/>
      </c>
      <c r="N82" s="89" t="str" cm="1">
        <f t="array" ref="N82">IFERROR(_xlfn.IFS(AND(LEFT(F82,6)="Arbeid",RIGHT(F82,3)&lt;&gt;"IKS"),IFERROR(VLOOKUP($G82,Tb_KostenTypen[],2,0),"tarief"),RIGHT(F82,3)="IKS","Uurtarief",LEFT(F82,6)="Arbeid","Uurtarief",AND(LEFT(F82,8)="Bijdrage",RIGHT(F82,15)="(vrijwilligers)"),"Vast tarief"),"")</f>
        <v/>
      </c>
      <c r="O82" s="90"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0"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1"/>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59"/>
      <c r="Z82" s="49"/>
      <c r="AA82" s="37" t="str" cm="1">
        <f t="array" ref="AA82">IFERROR(IF(INDEX(SubsidieTabel!$Q$1:$T$9,MATCH($F82,SubsidieTabel!$Q$1:$Q$9,0),IFERROR(MATCH(Methode_Keuze,SubsidieTabel!$Q$1:$T$1,0),2))&lt;&gt;1=TRUE,"ja",""),"")</f>
        <v/>
      </c>
    </row>
    <row r="83" spans="1:27" ht="15" customHeight="1" x14ac:dyDescent="0.25">
      <c r="A83" s="85"/>
      <c r="B83" s="217" t="str">
        <f>IF(A83&lt;&gt;"",_xlfn.MAXIFS($B$1:B82,$A$1:A82,A83)+1,"")</f>
        <v/>
      </c>
      <c r="C83" s="50"/>
      <c r="D83" s="50"/>
      <c r="E83" s="50"/>
      <c r="F83" s="50"/>
      <c r="G83" s="280"/>
      <c r="H83" s="293"/>
      <c r="I83" s="292"/>
      <c r="J83" s="292"/>
      <c r="K83" s="200"/>
      <c r="L83" s="200"/>
      <c r="M83" s="89" t="str">
        <f>IFERROR(VLOOKUP(H83,Lijsten!$H$1:$I$100,2,0),"")</f>
        <v/>
      </c>
      <c r="N83" s="89" t="str" cm="1">
        <f t="array" ref="N83">IFERROR(_xlfn.IFS(AND(LEFT(F83,6)="Arbeid",RIGHT(F83,3)&lt;&gt;"IKS"),IFERROR(VLOOKUP($G83,Tb_KostenTypen[],2,0),"tarief"),RIGHT(F83,3)="IKS","Uurtarief",LEFT(F83,6)="Arbeid","Uurtarief",AND(LEFT(F83,8)="Bijdrage",RIGHT(F83,15)="(vrijwilligers)"),"Vast tarief"),"")</f>
        <v/>
      </c>
      <c r="O83" s="90"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0"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1"/>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59"/>
      <c r="Z83" s="49"/>
      <c r="AA83" s="37" t="str" cm="1">
        <f t="array" ref="AA83">IFERROR(IF(INDEX(SubsidieTabel!$Q$1:$T$9,MATCH($F83,SubsidieTabel!$Q$1:$Q$9,0),IFERROR(MATCH(Methode_Keuze,SubsidieTabel!$Q$1:$T$1,0),2))&lt;&gt;1=TRUE,"ja",""),"")</f>
        <v/>
      </c>
    </row>
    <row r="84" spans="1:27" ht="15" customHeight="1" x14ac:dyDescent="0.25">
      <c r="A84" s="85"/>
      <c r="B84" s="217" t="str">
        <f>IF(A84&lt;&gt;"",_xlfn.MAXIFS($B$1:B83,$A$1:A83,A84)+1,"")</f>
        <v/>
      </c>
      <c r="C84" s="50"/>
      <c r="D84" s="50"/>
      <c r="E84" s="50"/>
      <c r="F84" s="50"/>
      <c r="G84" s="280"/>
      <c r="H84" s="293"/>
      <c r="I84" s="292"/>
      <c r="J84" s="292"/>
      <c r="K84" s="200"/>
      <c r="L84" s="200"/>
      <c r="M84" s="89" t="str">
        <f>IFERROR(VLOOKUP(H84,Lijsten!$H$1:$I$100,2,0),"")</f>
        <v/>
      </c>
      <c r="N84" s="89" t="str" cm="1">
        <f t="array" ref="N84">IFERROR(_xlfn.IFS(AND(LEFT(F84,6)="Arbeid",RIGHT(F84,3)&lt;&gt;"IKS"),IFERROR(VLOOKUP($G84,Tb_KostenTypen[],2,0),"tarief"),RIGHT(F84,3)="IKS","Uurtarief",LEFT(F84,6)="Arbeid","Uurtarief",AND(LEFT(F84,8)="Bijdrage",RIGHT(F84,15)="(vrijwilligers)"),"Vast tarief"),"")</f>
        <v/>
      </c>
      <c r="O84" s="90"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0"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1"/>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59"/>
      <c r="Z84" s="49"/>
      <c r="AA84" s="37" t="str" cm="1">
        <f t="array" ref="AA84">IFERROR(IF(INDEX(SubsidieTabel!$Q$1:$T$9,MATCH($F84,SubsidieTabel!$Q$1:$Q$9,0),IFERROR(MATCH(Methode_Keuze,SubsidieTabel!$Q$1:$T$1,0),2))&lt;&gt;1=TRUE,"ja",""),"")</f>
        <v/>
      </c>
    </row>
    <row r="85" spans="1:27" ht="15" customHeight="1" x14ac:dyDescent="0.25">
      <c r="A85" s="85"/>
      <c r="B85" s="217" t="str">
        <f>IF(A85&lt;&gt;"",_xlfn.MAXIFS($B$1:B84,$A$1:A84,A85)+1,"")</f>
        <v/>
      </c>
      <c r="C85" s="50"/>
      <c r="D85" s="50"/>
      <c r="E85" s="50"/>
      <c r="F85" s="50"/>
      <c r="G85" s="280"/>
      <c r="H85" s="293"/>
      <c r="I85" s="292"/>
      <c r="J85" s="292"/>
      <c r="K85" s="200"/>
      <c r="L85" s="200"/>
      <c r="M85" s="89" t="str">
        <f>IFERROR(VLOOKUP(H85,Lijsten!$H$1:$I$100,2,0),"")</f>
        <v/>
      </c>
      <c r="N85" s="89" t="str" cm="1">
        <f t="array" ref="N85">IFERROR(_xlfn.IFS(AND(LEFT(F85,6)="Arbeid",RIGHT(F85,3)&lt;&gt;"IKS"),IFERROR(VLOOKUP($G85,Tb_KostenTypen[],2,0),"tarief"),RIGHT(F85,3)="IKS","Uurtarief",LEFT(F85,6)="Arbeid","Uurtarief",AND(LEFT(F85,8)="Bijdrage",RIGHT(F85,15)="(vrijwilligers)"),"Vast tarief"),"")</f>
        <v/>
      </c>
      <c r="O85" s="90"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0"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1"/>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59"/>
      <c r="Z85" s="49"/>
      <c r="AA85" s="37" t="str" cm="1">
        <f t="array" ref="AA85">IFERROR(IF(INDEX(SubsidieTabel!$Q$1:$T$9,MATCH($F85,SubsidieTabel!$Q$1:$Q$9,0),IFERROR(MATCH(Methode_Keuze,SubsidieTabel!$Q$1:$T$1,0),2))&lt;&gt;1=TRUE,"ja",""),"")</f>
        <v/>
      </c>
    </row>
    <row r="86" spans="1:27" ht="15" customHeight="1" x14ac:dyDescent="0.25">
      <c r="A86" s="85"/>
      <c r="B86" s="217" t="str">
        <f>IF(A86&lt;&gt;"",_xlfn.MAXIFS($B$1:B85,$A$1:A85,A86)+1,"")</f>
        <v/>
      </c>
      <c r="C86" s="50"/>
      <c r="D86" s="50"/>
      <c r="E86" s="50"/>
      <c r="F86" s="50"/>
      <c r="G86" s="280"/>
      <c r="H86" s="293"/>
      <c r="I86" s="292"/>
      <c r="J86" s="292"/>
      <c r="K86" s="200"/>
      <c r="L86" s="200"/>
      <c r="M86" s="89" t="str">
        <f>IFERROR(VLOOKUP(H86,Lijsten!$H$1:$I$100,2,0),"")</f>
        <v/>
      </c>
      <c r="N86" s="89" t="str" cm="1">
        <f t="array" ref="N86">IFERROR(_xlfn.IFS(AND(LEFT(F86,6)="Arbeid",RIGHT(F86,3)&lt;&gt;"IKS"),IFERROR(VLOOKUP($G86,Tb_KostenTypen[],2,0),"tarief"),RIGHT(F86,3)="IKS","Uurtarief",LEFT(F86,6)="Arbeid","Uurtarief",AND(LEFT(F86,8)="Bijdrage",RIGHT(F86,15)="(vrijwilligers)"),"Vast tarief"),"")</f>
        <v/>
      </c>
      <c r="O86" s="90"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0"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1"/>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59"/>
      <c r="Z86" s="49"/>
      <c r="AA86" s="37" t="str" cm="1">
        <f t="array" ref="AA86">IFERROR(IF(INDEX(SubsidieTabel!$Q$1:$T$9,MATCH($F86,SubsidieTabel!$Q$1:$Q$9,0),IFERROR(MATCH(Methode_Keuze,SubsidieTabel!$Q$1:$T$1,0),2))&lt;&gt;1=TRUE,"ja",""),"")</f>
        <v/>
      </c>
    </row>
    <row r="87" spans="1:27" ht="15" customHeight="1" x14ac:dyDescent="0.25">
      <c r="A87" s="85"/>
      <c r="B87" s="217" t="str">
        <f>IF(A87&lt;&gt;"",_xlfn.MAXIFS($B$1:B86,$A$1:A86,A87)+1,"")</f>
        <v/>
      </c>
      <c r="C87" s="50"/>
      <c r="D87" s="50"/>
      <c r="E87" s="50"/>
      <c r="F87" s="50"/>
      <c r="G87" s="280"/>
      <c r="H87" s="293"/>
      <c r="I87" s="292"/>
      <c r="J87" s="292"/>
      <c r="K87" s="200"/>
      <c r="L87" s="200"/>
      <c r="M87" s="89" t="str">
        <f>IFERROR(VLOOKUP(H87,Lijsten!$H$1:$I$100,2,0),"")</f>
        <v/>
      </c>
      <c r="N87" s="89" t="str" cm="1">
        <f t="array" ref="N87">IFERROR(_xlfn.IFS(AND(LEFT(F87,6)="Arbeid",RIGHT(F87,3)&lt;&gt;"IKS"),IFERROR(VLOOKUP($G87,Tb_KostenTypen[],2,0),"tarief"),RIGHT(F87,3)="IKS","Uurtarief",LEFT(F87,6)="Arbeid","Uurtarief",AND(LEFT(F87,8)="Bijdrage",RIGHT(F87,15)="(vrijwilligers)"),"Vast tarief"),"")</f>
        <v/>
      </c>
      <c r="O87" s="90"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0"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1"/>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59"/>
      <c r="Z87" s="49"/>
      <c r="AA87" s="37" t="str" cm="1">
        <f t="array" ref="AA87">IFERROR(IF(INDEX(SubsidieTabel!$Q$1:$T$9,MATCH($F87,SubsidieTabel!$Q$1:$Q$9,0),IFERROR(MATCH(Methode_Keuze,SubsidieTabel!$Q$1:$T$1,0),2))&lt;&gt;1=TRUE,"ja",""),"")</f>
        <v/>
      </c>
    </row>
    <row r="88" spans="1:27" ht="15" customHeight="1" x14ac:dyDescent="0.25">
      <c r="A88" s="85"/>
      <c r="B88" s="217" t="str">
        <f>IF(A88&lt;&gt;"",_xlfn.MAXIFS($B$1:B87,$A$1:A87,A88)+1,"")</f>
        <v/>
      </c>
      <c r="C88" s="50"/>
      <c r="D88" s="50"/>
      <c r="E88" s="50"/>
      <c r="F88" s="50"/>
      <c r="G88" s="280"/>
      <c r="H88" s="293"/>
      <c r="I88" s="292"/>
      <c r="J88" s="292"/>
      <c r="K88" s="200"/>
      <c r="L88" s="200"/>
      <c r="M88" s="89" t="str">
        <f>IFERROR(VLOOKUP(H88,Lijsten!$H$1:$I$100,2,0),"")</f>
        <v/>
      </c>
      <c r="N88" s="89" t="str" cm="1">
        <f t="array" ref="N88">IFERROR(_xlfn.IFS(AND(LEFT(F88,6)="Arbeid",RIGHT(F88,3)&lt;&gt;"IKS"),IFERROR(VLOOKUP($G88,Tb_KostenTypen[],2,0),"tarief"),RIGHT(F88,3)="IKS","Uurtarief",LEFT(F88,6)="Arbeid","Uurtarief",AND(LEFT(F88,8)="Bijdrage",RIGHT(F88,15)="(vrijwilligers)"),"Vast tarief"),"")</f>
        <v/>
      </c>
      <c r="O88" s="90"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0"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1"/>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59"/>
      <c r="Z88" s="49"/>
      <c r="AA88" s="37" t="str" cm="1">
        <f t="array" ref="AA88">IFERROR(IF(INDEX(SubsidieTabel!$Q$1:$T$9,MATCH($F88,SubsidieTabel!$Q$1:$Q$9,0),IFERROR(MATCH(Methode_Keuze,SubsidieTabel!$Q$1:$T$1,0),2))&lt;&gt;1=TRUE,"ja",""),"")</f>
        <v/>
      </c>
    </row>
    <row r="89" spans="1:27" ht="15" customHeight="1" x14ac:dyDescent="0.25">
      <c r="A89" s="85"/>
      <c r="B89" s="217" t="str">
        <f>IF(A89&lt;&gt;"",_xlfn.MAXIFS($B$1:B88,$A$1:A88,A89)+1,"")</f>
        <v/>
      </c>
      <c r="C89" s="50"/>
      <c r="D89" s="50"/>
      <c r="E89" s="50"/>
      <c r="F89" s="50"/>
      <c r="G89" s="280"/>
      <c r="H89" s="293"/>
      <c r="I89" s="292"/>
      <c r="J89" s="292"/>
      <c r="K89" s="200"/>
      <c r="L89" s="200"/>
      <c r="M89" s="89" t="str">
        <f>IFERROR(VLOOKUP(H89,Lijsten!$H$1:$I$100,2,0),"")</f>
        <v/>
      </c>
      <c r="N89" s="89" t="str" cm="1">
        <f t="array" ref="N89">IFERROR(_xlfn.IFS(AND(LEFT(F89,6)="Arbeid",RIGHT(F89,3)&lt;&gt;"IKS"),IFERROR(VLOOKUP($G89,Tb_KostenTypen[],2,0),"tarief"),RIGHT(F89,3)="IKS","Uurtarief",LEFT(F89,6)="Arbeid","Uurtarief",AND(LEFT(F89,8)="Bijdrage",RIGHT(F89,15)="(vrijwilligers)"),"Vast tarief"),"")</f>
        <v/>
      </c>
      <c r="O89" s="90"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0"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1"/>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59"/>
      <c r="Z89" s="49"/>
      <c r="AA89" s="37" t="str" cm="1">
        <f t="array" ref="AA89">IFERROR(IF(INDEX(SubsidieTabel!$Q$1:$T$9,MATCH($F89,SubsidieTabel!$Q$1:$Q$9,0),IFERROR(MATCH(Methode_Keuze,SubsidieTabel!$Q$1:$T$1,0),2))&lt;&gt;1=TRUE,"ja",""),"")</f>
        <v/>
      </c>
    </row>
    <row r="90" spans="1:27" ht="15" customHeight="1" x14ac:dyDescent="0.25">
      <c r="A90" s="85"/>
      <c r="B90" s="217" t="str">
        <f>IF(A90&lt;&gt;"",_xlfn.MAXIFS($B$1:B89,$A$1:A89,A90)+1,"")</f>
        <v/>
      </c>
      <c r="C90" s="50"/>
      <c r="D90" s="50"/>
      <c r="E90" s="50"/>
      <c r="F90" s="50"/>
      <c r="G90" s="280"/>
      <c r="H90" s="293"/>
      <c r="I90" s="292"/>
      <c r="J90" s="292"/>
      <c r="K90" s="200"/>
      <c r="L90" s="200"/>
      <c r="M90" s="89" t="str">
        <f>IFERROR(VLOOKUP(H90,Lijsten!$H$1:$I$100,2,0),"")</f>
        <v/>
      </c>
      <c r="N90" s="89" t="str" cm="1">
        <f t="array" ref="N90">IFERROR(_xlfn.IFS(AND(LEFT(F90,6)="Arbeid",RIGHT(F90,3)&lt;&gt;"IKS"),IFERROR(VLOOKUP($G90,Tb_KostenTypen[],2,0),"tarief"),RIGHT(F90,3)="IKS","Uurtarief",LEFT(F90,6)="Arbeid","Uurtarief",AND(LEFT(F90,8)="Bijdrage",RIGHT(F90,15)="(vrijwilligers)"),"Vast tarief"),"")</f>
        <v/>
      </c>
      <c r="O90" s="90"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0"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1"/>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59"/>
      <c r="Z90" s="49"/>
      <c r="AA90" s="37" t="str" cm="1">
        <f t="array" ref="AA90">IFERROR(IF(INDEX(SubsidieTabel!$Q$1:$T$9,MATCH($F90,SubsidieTabel!$Q$1:$Q$9,0),IFERROR(MATCH(Methode_Keuze,SubsidieTabel!$Q$1:$T$1,0),2))&lt;&gt;1=TRUE,"ja",""),"")</f>
        <v/>
      </c>
    </row>
    <row r="91" spans="1:27" ht="15" customHeight="1" x14ac:dyDescent="0.25">
      <c r="A91" s="85"/>
      <c r="B91" s="217" t="str">
        <f>IF(A91&lt;&gt;"",_xlfn.MAXIFS($B$1:B90,$A$1:A90,A91)+1,"")</f>
        <v/>
      </c>
      <c r="C91" s="50"/>
      <c r="D91" s="50"/>
      <c r="E91" s="50"/>
      <c r="F91" s="50"/>
      <c r="G91" s="280"/>
      <c r="H91" s="293"/>
      <c r="I91" s="292"/>
      <c r="J91" s="292"/>
      <c r="K91" s="200"/>
      <c r="L91" s="200"/>
      <c r="M91" s="89" t="str">
        <f>IFERROR(VLOOKUP(H91,Lijsten!$H$1:$I$100,2,0),"")</f>
        <v/>
      </c>
      <c r="N91" s="89" t="str" cm="1">
        <f t="array" ref="N91">IFERROR(_xlfn.IFS(AND(LEFT(F91,6)="Arbeid",RIGHT(F91,3)&lt;&gt;"IKS"),IFERROR(VLOOKUP($G91,Tb_KostenTypen[],2,0),"tarief"),RIGHT(F91,3)="IKS","Uurtarief",LEFT(F91,6)="Arbeid","Uurtarief",AND(LEFT(F91,8)="Bijdrage",RIGHT(F91,15)="(vrijwilligers)"),"Vast tarief"),"")</f>
        <v/>
      </c>
      <c r="O91" s="90"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0"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1"/>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59"/>
      <c r="Z91" s="49"/>
      <c r="AA91" s="37" t="str" cm="1">
        <f t="array" ref="AA91">IFERROR(IF(INDEX(SubsidieTabel!$Q$1:$T$9,MATCH($F91,SubsidieTabel!$Q$1:$Q$9,0),IFERROR(MATCH(Methode_Keuze,SubsidieTabel!$Q$1:$T$1,0),2))&lt;&gt;1=TRUE,"ja",""),"")</f>
        <v/>
      </c>
    </row>
    <row r="92" spans="1:27" ht="15" customHeight="1" x14ac:dyDescent="0.25">
      <c r="A92" s="85"/>
      <c r="B92" s="217" t="str">
        <f>IF(A92&lt;&gt;"",_xlfn.MAXIFS($B$1:B91,$A$1:A91,A92)+1,"")</f>
        <v/>
      </c>
      <c r="C92" s="50"/>
      <c r="D92" s="50"/>
      <c r="E92" s="50"/>
      <c r="F92" s="50"/>
      <c r="G92" s="280"/>
      <c r="H92" s="293"/>
      <c r="I92" s="292"/>
      <c r="J92" s="292"/>
      <c r="K92" s="200"/>
      <c r="L92" s="200"/>
      <c r="M92" s="89" t="str">
        <f>IFERROR(VLOOKUP(H92,Lijsten!$H$1:$I$100,2,0),"")</f>
        <v/>
      </c>
      <c r="N92" s="89" t="str" cm="1">
        <f t="array" ref="N92">IFERROR(_xlfn.IFS(AND(LEFT(F92,6)="Arbeid",RIGHT(F92,3)&lt;&gt;"IKS"),IFERROR(VLOOKUP($G92,Tb_KostenTypen[],2,0),"tarief"),RIGHT(F92,3)="IKS","Uurtarief",LEFT(F92,6)="Arbeid","Uurtarief",AND(LEFT(F92,8)="Bijdrage",RIGHT(F92,15)="(vrijwilligers)"),"Vast tarief"),"")</f>
        <v/>
      </c>
      <c r="O92" s="90"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0"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1"/>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59"/>
      <c r="Z92" s="49"/>
      <c r="AA92" s="37" t="str" cm="1">
        <f t="array" ref="AA92">IFERROR(IF(INDEX(SubsidieTabel!$Q$1:$T$9,MATCH($F92,SubsidieTabel!$Q$1:$Q$9,0),IFERROR(MATCH(Methode_Keuze,SubsidieTabel!$Q$1:$T$1,0),2))&lt;&gt;1=TRUE,"ja",""),"")</f>
        <v/>
      </c>
    </row>
    <row r="93" spans="1:27" ht="15" customHeight="1" x14ac:dyDescent="0.25">
      <c r="A93" s="85"/>
      <c r="B93" s="217" t="str">
        <f>IF(A93&lt;&gt;"",_xlfn.MAXIFS($B$1:B92,$A$1:A92,A93)+1,"")</f>
        <v/>
      </c>
      <c r="C93" s="50"/>
      <c r="D93" s="50"/>
      <c r="E93" s="50"/>
      <c r="F93" s="50"/>
      <c r="G93" s="280"/>
      <c r="H93" s="293"/>
      <c r="I93" s="292"/>
      <c r="J93" s="292"/>
      <c r="K93" s="200"/>
      <c r="L93" s="200"/>
      <c r="M93" s="89" t="str">
        <f>IFERROR(VLOOKUP(H93,Lijsten!$H$1:$I$100,2,0),"")</f>
        <v/>
      </c>
      <c r="N93" s="89" t="str" cm="1">
        <f t="array" ref="N93">IFERROR(_xlfn.IFS(AND(LEFT(F93,6)="Arbeid",RIGHT(F93,3)&lt;&gt;"IKS"),IFERROR(VLOOKUP($G93,Tb_KostenTypen[],2,0),"tarief"),RIGHT(F93,3)="IKS","Uurtarief",LEFT(F93,6)="Arbeid","Uurtarief",AND(LEFT(F93,8)="Bijdrage",RIGHT(F93,15)="(vrijwilligers)"),"Vast tarief"),"")</f>
        <v/>
      </c>
      <c r="O93" s="90"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0"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1"/>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59"/>
      <c r="Z93" s="49"/>
      <c r="AA93" s="37" t="str" cm="1">
        <f t="array" ref="AA93">IFERROR(IF(INDEX(SubsidieTabel!$Q$1:$T$9,MATCH($F93,SubsidieTabel!$Q$1:$Q$9,0),IFERROR(MATCH(Methode_Keuze,SubsidieTabel!$Q$1:$T$1,0),2))&lt;&gt;1=TRUE,"ja",""),"")</f>
        <v/>
      </c>
    </row>
    <row r="94" spans="1:27" ht="15" customHeight="1" x14ac:dyDescent="0.25">
      <c r="A94" s="85"/>
      <c r="B94" s="217" t="str">
        <f>IF(A94&lt;&gt;"",_xlfn.MAXIFS($B$1:B93,$A$1:A93,A94)+1,"")</f>
        <v/>
      </c>
      <c r="C94" s="50"/>
      <c r="D94" s="50"/>
      <c r="E94" s="50"/>
      <c r="F94" s="50"/>
      <c r="G94" s="280"/>
      <c r="H94" s="293"/>
      <c r="I94" s="292"/>
      <c r="J94" s="292"/>
      <c r="K94" s="200"/>
      <c r="L94" s="200"/>
      <c r="M94" s="89" t="str">
        <f>IFERROR(VLOOKUP(H94,Lijsten!$H$1:$I$100,2,0),"")</f>
        <v/>
      </c>
      <c r="N94" s="89" t="str" cm="1">
        <f t="array" ref="N94">IFERROR(_xlfn.IFS(AND(LEFT(F94,6)="Arbeid",RIGHT(F94,3)&lt;&gt;"IKS"),IFERROR(VLOOKUP($G94,Tb_KostenTypen[],2,0),"tarief"),RIGHT(F94,3)="IKS","Uurtarief",LEFT(F94,6)="Arbeid","Uurtarief",AND(LEFT(F94,8)="Bijdrage",RIGHT(F94,15)="(vrijwilligers)"),"Vast tarief"),"")</f>
        <v/>
      </c>
      <c r="O94" s="90"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0"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1"/>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59"/>
      <c r="Z94" s="49"/>
      <c r="AA94" s="37" t="str" cm="1">
        <f t="array" ref="AA94">IFERROR(IF(INDEX(SubsidieTabel!$Q$1:$T$9,MATCH($F94,SubsidieTabel!$Q$1:$Q$9,0),IFERROR(MATCH(Methode_Keuze,SubsidieTabel!$Q$1:$T$1,0),2))&lt;&gt;1=TRUE,"ja",""),"")</f>
        <v/>
      </c>
    </row>
    <row r="95" spans="1:27" ht="15" customHeight="1" x14ac:dyDescent="0.25">
      <c r="A95" s="85"/>
      <c r="B95" s="217" t="str">
        <f>IF(A95&lt;&gt;"",_xlfn.MAXIFS($B$1:B94,$A$1:A94,A95)+1,"")</f>
        <v/>
      </c>
      <c r="C95" s="50"/>
      <c r="D95" s="50"/>
      <c r="E95" s="50"/>
      <c r="F95" s="50"/>
      <c r="G95" s="280"/>
      <c r="H95" s="293"/>
      <c r="I95" s="292"/>
      <c r="J95" s="292"/>
      <c r="K95" s="200"/>
      <c r="L95" s="200"/>
      <c r="M95" s="89" t="str">
        <f>IFERROR(VLOOKUP(H95,Lijsten!$H$1:$I$100,2,0),"")</f>
        <v/>
      </c>
      <c r="N95" s="89" t="str" cm="1">
        <f t="array" ref="N95">IFERROR(_xlfn.IFS(AND(LEFT(F95,6)="Arbeid",RIGHT(F95,3)&lt;&gt;"IKS"),IFERROR(VLOOKUP($G95,Tb_KostenTypen[],2,0),"tarief"),RIGHT(F95,3)="IKS","Uurtarief",LEFT(F95,6)="Arbeid","Uurtarief",AND(LEFT(F95,8)="Bijdrage",RIGHT(F95,15)="(vrijwilligers)"),"Vast tarief"),"")</f>
        <v/>
      </c>
      <c r="O95" s="90"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0"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1"/>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59"/>
      <c r="Z95" s="49"/>
      <c r="AA95" s="37" t="str" cm="1">
        <f t="array" ref="AA95">IFERROR(IF(INDEX(SubsidieTabel!$Q$1:$T$9,MATCH($F95,SubsidieTabel!$Q$1:$Q$9,0),IFERROR(MATCH(Methode_Keuze,SubsidieTabel!$Q$1:$T$1,0),2))&lt;&gt;1=TRUE,"ja",""),"")</f>
        <v/>
      </c>
    </row>
    <row r="96" spans="1:27" ht="15" customHeight="1" x14ac:dyDescent="0.25">
      <c r="A96" s="85"/>
      <c r="B96" s="217" t="str">
        <f>IF(A96&lt;&gt;"",_xlfn.MAXIFS($B$1:B95,$A$1:A95,A96)+1,"")</f>
        <v/>
      </c>
      <c r="C96" s="50"/>
      <c r="D96" s="50"/>
      <c r="E96" s="50"/>
      <c r="F96" s="50"/>
      <c r="G96" s="280"/>
      <c r="H96" s="293"/>
      <c r="I96" s="292"/>
      <c r="J96" s="292"/>
      <c r="K96" s="200"/>
      <c r="L96" s="200"/>
      <c r="M96" s="89" t="str">
        <f>IFERROR(VLOOKUP(H96,Lijsten!$H$1:$I$100,2,0),"")</f>
        <v/>
      </c>
      <c r="N96" s="89" t="str" cm="1">
        <f t="array" ref="N96">IFERROR(_xlfn.IFS(AND(LEFT(F96,6)="Arbeid",RIGHT(F96,3)&lt;&gt;"IKS"),IFERROR(VLOOKUP($G96,Tb_KostenTypen[],2,0),"tarief"),RIGHT(F96,3)="IKS","Uurtarief",LEFT(F96,6)="Arbeid","Uurtarief",AND(LEFT(F96,8)="Bijdrage",RIGHT(F96,15)="(vrijwilligers)"),"Vast tarief"),"")</f>
        <v/>
      </c>
      <c r="O96" s="90"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0"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1"/>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59"/>
      <c r="Z96" s="49"/>
      <c r="AA96" s="37" t="str" cm="1">
        <f t="array" ref="AA96">IFERROR(IF(INDEX(SubsidieTabel!$Q$1:$T$9,MATCH($F96,SubsidieTabel!$Q$1:$Q$9,0),IFERROR(MATCH(Methode_Keuze,SubsidieTabel!$Q$1:$T$1,0),2))&lt;&gt;1=TRUE,"ja",""),"")</f>
        <v/>
      </c>
    </row>
    <row r="97" spans="1:27" ht="15" customHeight="1" x14ac:dyDescent="0.25">
      <c r="A97" s="85"/>
      <c r="B97" s="217" t="str">
        <f>IF(A97&lt;&gt;"",_xlfn.MAXIFS($B$1:B96,$A$1:A96,A97)+1,"")</f>
        <v/>
      </c>
      <c r="C97" s="50"/>
      <c r="D97" s="50"/>
      <c r="E97" s="50"/>
      <c r="F97" s="50"/>
      <c r="G97" s="280"/>
      <c r="H97" s="293"/>
      <c r="I97" s="292"/>
      <c r="J97" s="292"/>
      <c r="K97" s="200"/>
      <c r="L97" s="200"/>
      <c r="M97" s="89" t="str">
        <f>IFERROR(VLOOKUP(H97,Lijsten!$H$1:$I$100,2,0),"")</f>
        <v/>
      </c>
      <c r="N97" s="89" t="str" cm="1">
        <f t="array" ref="N97">IFERROR(_xlfn.IFS(AND(LEFT(F97,6)="Arbeid",RIGHT(F97,3)&lt;&gt;"IKS"),IFERROR(VLOOKUP($G97,Tb_KostenTypen[],2,0),"tarief"),RIGHT(F97,3)="IKS","Uurtarief",LEFT(F97,6)="Arbeid","Uurtarief",AND(LEFT(F97,8)="Bijdrage",RIGHT(F97,15)="(vrijwilligers)"),"Vast tarief"),"")</f>
        <v/>
      </c>
      <c r="O97" s="90"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0"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1"/>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59"/>
      <c r="Z97" s="49"/>
      <c r="AA97" s="37" t="str" cm="1">
        <f t="array" ref="AA97">IFERROR(IF(INDEX(SubsidieTabel!$Q$1:$T$9,MATCH($F97,SubsidieTabel!$Q$1:$Q$9,0),IFERROR(MATCH(Methode_Keuze,SubsidieTabel!$Q$1:$T$1,0),2))&lt;&gt;1=TRUE,"ja",""),"")</f>
        <v/>
      </c>
    </row>
    <row r="98" spans="1:27" ht="15" customHeight="1" x14ac:dyDescent="0.25">
      <c r="A98" s="85"/>
      <c r="B98" s="217" t="str">
        <f>IF(A98&lt;&gt;"",_xlfn.MAXIFS($B$1:B97,$A$1:A97,A98)+1,"")</f>
        <v/>
      </c>
      <c r="C98" s="50"/>
      <c r="D98" s="50"/>
      <c r="E98" s="50"/>
      <c r="F98" s="50"/>
      <c r="G98" s="280"/>
      <c r="H98" s="293"/>
      <c r="I98" s="292"/>
      <c r="J98" s="292"/>
      <c r="K98" s="200"/>
      <c r="L98" s="200"/>
      <c r="M98" s="89" t="str">
        <f>IFERROR(VLOOKUP(H98,Lijsten!$H$1:$I$100,2,0),"")</f>
        <v/>
      </c>
      <c r="N98" s="89" t="str" cm="1">
        <f t="array" ref="N98">IFERROR(_xlfn.IFS(AND(LEFT(F98,6)="Arbeid",RIGHT(F98,3)&lt;&gt;"IKS"),IFERROR(VLOOKUP($G98,Tb_KostenTypen[],2,0),"tarief"),RIGHT(F98,3)="IKS","Uurtarief",LEFT(F98,6)="Arbeid","Uurtarief",AND(LEFT(F98,8)="Bijdrage",RIGHT(F98,15)="(vrijwilligers)"),"Vast tarief"),"")</f>
        <v/>
      </c>
      <c r="O98" s="90"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0"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1"/>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59"/>
      <c r="Z98" s="49"/>
      <c r="AA98" s="37" t="str" cm="1">
        <f t="array" ref="AA98">IFERROR(IF(INDEX(SubsidieTabel!$Q$1:$T$9,MATCH($F98,SubsidieTabel!$Q$1:$Q$9,0),IFERROR(MATCH(Methode_Keuze,SubsidieTabel!$Q$1:$T$1,0),2))&lt;&gt;1=TRUE,"ja",""),"")</f>
        <v/>
      </c>
    </row>
    <row r="99" spans="1:27" ht="15" customHeight="1" x14ac:dyDescent="0.25">
      <c r="A99" s="85"/>
      <c r="B99" s="217" t="str">
        <f>IF(A99&lt;&gt;"",_xlfn.MAXIFS($B$1:B98,$A$1:A98,A99)+1,"")</f>
        <v/>
      </c>
      <c r="C99" s="50"/>
      <c r="D99" s="50"/>
      <c r="E99" s="50"/>
      <c r="F99" s="50"/>
      <c r="G99" s="280"/>
      <c r="H99" s="293"/>
      <c r="I99" s="292"/>
      <c r="J99" s="292"/>
      <c r="K99" s="200"/>
      <c r="L99" s="200"/>
      <c r="M99" s="89" t="str">
        <f>IFERROR(VLOOKUP(H99,Lijsten!$H$1:$I$100,2,0),"")</f>
        <v/>
      </c>
      <c r="N99" s="89" t="str" cm="1">
        <f t="array" ref="N99">IFERROR(_xlfn.IFS(AND(LEFT(F99,6)="Arbeid",RIGHT(F99,3)&lt;&gt;"IKS"),IFERROR(VLOOKUP($G99,Tb_KostenTypen[],2,0),"tarief"),RIGHT(F99,3)="IKS","Uurtarief",LEFT(F99,6)="Arbeid","Uurtarief",AND(LEFT(F99,8)="Bijdrage",RIGHT(F99,15)="(vrijwilligers)"),"Vast tarief"),"")</f>
        <v/>
      </c>
      <c r="O99" s="90"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0"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1"/>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59"/>
      <c r="Z99" s="49"/>
      <c r="AA99" s="37" t="str" cm="1">
        <f t="array" ref="AA99">IFERROR(IF(INDEX(SubsidieTabel!$Q$1:$T$9,MATCH($F99,SubsidieTabel!$Q$1:$Q$9,0),IFERROR(MATCH(Methode_Keuze,SubsidieTabel!$Q$1:$T$1,0),2))&lt;&gt;1=TRUE,"ja",""),"")</f>
        <v/>
      </c>
    </row>
    <row r="100" spans="1:27" ht="15" customHeight="1" x14ac:dyDescent="0.25">
      <c r="A100" s="85"/>
      <c r="B100" s="217" t="str">
        <f>IF(A100&lt;&gt;"",_xlfn.MAXIFS($B$1:B99,$A$1:A99,A100)+1,"")</f>
        <v/>
      </c>
      <c r="C100" s="50"/>
      <c r="D100" s="50"/>
      <c r="E100" s="50"/>
      <c r="F100" s="50"/>
      <c r="G100" s="280"/>
      <c r="H100" s="293"/>
      <c r="I100" s="292"/>
      <c r="J100" s="292"/>
      <c r="K100" s="200"/>
      <c r="L100" s="200"/>
      <c r="M100" s="89" t="str">
        <f>IFERROR(VLOOKUP(H100,Lijsten!$H$1:$I$100,2,0),"")</f>
        <v/>
      </c>
      <c r="N100" s="89" t="str" cm="1">
        <f t="array" ref="N100">IFERROR(_xlfn.IFS(AND(LEFT(F100,6)="Arbeid",RIGHT(F100,3)&lt;&gt;"IKS"),IFERROR(VLOOKUP($G100,Tb_KostenTypen[],2,0),"tarief"),RIGHT(F100,3)="IKS","Uurtarief",LEFT(F100,6)="Arbeid","Uurtarief",AND(LEFT(F100,8)="Bijdrage",RIGHT(F100,15)="(vrijwilligers)"),"Vast tarief"),"")</f>
        <v/>
      </c>
      <c r="O100" s="90"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0"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1"/>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59"/>
      <c r="Z100" s="49"/>
      <c r="AA100" s="37" t="str" cm="1">
        <f t="array" ref="AA100">IFERROR(IF(INDEX(SubsidieTabel!$Q$1:$T$9,MATCH($F100,SubsidieTabel!$Q$1:$Q$9,0),IFERROR(MATCH(Methode_Keuze,SubsidieTabel!$Q$1:$T$1,0),2))&lt;&gt;1=TRUE,"ja",""),"")</f>
        <v/>
      </c>
    </row>
    <row r="101" spans="1:27" ht="15" customHeight="1" x14ac:dyDescent="0.25">
      <c r="A101" s="85"/>
      <c r="B101" s="217" t="str">
        <f>IF(A101&lt;&gt;"",_xlfn.MAXIFS($B$1:B100,$A$1:A100,A101)+1,"")</f>
        <v/>
      </c>
      <c r="C101" s="50"/>
      <c r="D101" s="50"/>
      <c r="E101" s="50"/>
      <c r="F101" s="50"/>
      <c r="G101" s="280"/>
      <c r="H101" s="293"/>
      <c r="I101" s="292"/>
      <c r="J101" s="292"/>
      <c r="K101" s="200"/>
      <c r="L101" s="200"/>
      <c r="M101" s="89" t="str">
        <f>IFERROR(VLOOKUP(H101,Lijsten!$H$1:$I$100,2,0),"")</f>
        <v/>
      </c>
      <c r="N101" s="89" t="str" cm="1">
        <f t="array" ref="N101">IFERROR(_xlfn.IFS(AND(LEFT(F101,6)="Arbeid",RIGHT(F101,3)&lt;&gt;"IKS"),IFERROR(VLOOKUP($G101,Tb_KostenTypen[],2,0),"tarief"),RIGHT(F101,3)="IKS","Uurtarief",LEFT(F101,6)="Arbeid","Uurtarief",AND(LEFT(F101,8)="Bijdrage",RIGHT(F101,15)="(vrijwilligers)"),"Vast tarief"),"")</f>
        <v/>
      </c>
      <c r="O101" s="90"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0"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1"/>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59"/>
      <c r="Z101" s="49"/>
      <c r="AA101" s="37" t="str" cm="1">
        <f t="array" ref="AA101">IFERROR(IF(INDEX(SubsidieTabel!$Q$1:$T$9,MATCH($F101,SubsidieTabel!$Q$1:$Q$9,0),IFERROR(MATCH(Methode_Keuze,SubsidieTabel!$Q$1:$T$1,0),2))&lt;&gt;1=TRUE,"ja",""),"")</f>
        <v/>
      </c>
    </row>
    <row r="102" spans="1:27" ht="15" customHeight="1" x14ac:dyDescent="0.25">
      <c r="A102" s="85"/>
      <c r="B102" s="217" t="str">
        <f>IF(A102&lt;&gt;"",_xlfn.MAXIFS($B$1:B101,$A$1:A101,A102)+1,"")</f>
        <v/>
      </c>
      <c r="C102" s="50"/>
      <c r="D102" s="50"/>
      <c r="E102" s="50"/>
      <c r="F102" s="50"/>
      <c r="G102" s="280"/>
      <c r="H102" s="293"/>
      <c r="I102" s="292"/>
      <c r="J102" s="292"/>
      <c r="K102" s="200"/>
      <c r="L102" s="200"/>
      <c r="M102" s="89" t="str">
        <f>IFERROR(VLOOKUP(H102,Lijsten!$H$1:$I$100,2,0),"")</f>
        <v/>
      </c>
      <c r="N102" s="89" t="str" cm="1">
        <f t="array" ref="N102">IFERROR(_xlfn.IFS(AND(LEFT(F102,6)="Arbeid",RIGHT(F102,3)&lt;&gt;"IKS"),IFERROR(VLOOKUP($G102,Tb_KostenTypen[],2,0),"tarief"),RIGHT(F102,3)="IKS","Uurtarief",LEFT(F102,6)="Arbeid","Uurtarief",AND(LEFT(F102,8)="Bijdrage",RIGHT(F102,15)="(vrijwilligers)"),"Vast tarief"),"")</f>
        <v/>
      </c>
      <c r="O102" s="90"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0"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1"/>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59"/>
      <c r="Z102" s="49"/>
      <c r="AA102" s="37" t="str" cm="1">
        <f t="array" ref="AA102">IFERROR(IF(INDEX(SubsidieTabel!$Q$1:$T$9,MATCH($F102,SubsidieTabel!$Q$1:$Q$9,0),IFERROR(MATCH(Methode_Keuze,SubsidieTabel!$Q$1:$T$1,0),2))&lt;&gt;1=TRUE,"ja",""),"")</f>
        <v/>
      </c>
    </row>
    <row r="103" spans="1:27" ht="15" customHeight="1" x14ac:dyDescent="0.25">
      <c r="A103" s="85"/>
      <c r="B103" s="217" t="str">
        <f>IF(A103&lt;&gt;"",_xlfn.MAXIFS($B$1:B102,$A$1:A102,A103)+1,"")</f>
        <v/>
      </c>
      <c r="C103" s="50"/>
      <c r="D103" s="50"/>
      <c r="E103" s="50"/>
      <c r="F103" s="50"/>
      <c r="G103" s="280"/>
      <c r="H103" s="293"/>
      <c r="I103" s="292"/>
      <c r="J103" s="292"/>
      <c r="K103" s="200"/>
      <c r="L103" s="200"/>
      <c r="M103" s="89" t="str">
        <f>IFERROR(VLOOKUP(H103,Lijsten!$H$1:$I$100,2,0),"")</f>
        <v/>
      </c>
      <c r="N103" s="89" t="str" cm="1">
        <f t="array" ref="N103">IFERROR(_xlfn.IFS(AND(LEFT(F103,6)="Arbeid",RIGHT(F103,3)&lt;&gt;"IKS"),IFERROR(VLOOKUP($G103,Tb_KostenTypen[],2,0),"tarief"),RIGHT(F103,3)="IKS","Uurtarief",LEFT(F103,6)="Arbeid","Uurtarief",AND(LEFT(F103,8)="Bijdrage",RIGHT(F103,15)="(vrijwilligers)"),"Vast tarief"),"")</f>
        <v/>
      </c>
      <c r="O103" s="90"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0"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1"/>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59"/>
      <c r="Z103" s="49"/>
      <c r="AA103" s="37" t="str" cm="1">
        <f t="array" ref="AA103">IFERROR(IF(INDEX(SubsidieTabel!$Q$1:$T$9,MATCH($F103,SubsidieTabel!$Q$1:$Q$9,0),IFERROR(MATCH(Methode_Keuze,SubsidieTabel!$Q$1:$T$1,0),2))&lt;&gt;1=TRUE,"ja",""),"")</f>
        <v/>
      </c>
    </row>
    <row r="104" spans="1:27" ht="15" customHeight="1" x14ac:dyDescent="0.25">
      <c r="A104" s="85"/>
      <c r="B104" s="217" t="str">
        <f>IF(A104&lt;&gt;"",_xlfn.MAXIFS($B$1:B103,$A$1:A103,A104)+1,"")</f>
        <v/>
      </c>
      <c r="C104" s="50"/>
      <c r="D104" s="50"/>
      <c r="E104" s="50"/>
      <c r="F104" s="50"/>
      <c r="G104" s="280"/>
      <c r="H104" s="293"/>
      <c r="I104" s="292"/>
      <c r="J104" s="292"/>
      <c r="K104" s="200"/>
      <c r="L104" s="200"/>
      <c r="M104" s="89" t="str">
        <f>IFERROR(VLOOKUP(H104,Lijsten!$H$1:$I$100,2,0),"")</f>
        <v/>
      </c>
      <c r="N104" s="89" t="str" cm="1">
        <f t="array" ref="N104">IFERROR(_xlfn.IFS(AND(LEFT(F104,6)="Arbeid",RIGHT(F104,3)&lt;&gt;"IKS"),IFERROR(VLOOKUP($G104,Tb_KostenTypen[],2,0),"tarief"),RIGHT(F104,3)="IKS","Uurtarief",LEFT(F104,6)="Arbeid","Uurtarief",AND(LEFT(F104,8)="Bijdrage",RIGHT(F104,15)="(vrijwilligers)"),"Vast tarief"),"")</f>
        <v/>
      </c>
      <c r="O104" s="90"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0"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1"/>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59"/>
      <c r="Z104" s="49"/>
      <c r="AA104" s="37" t="str" cm="1">
        <f t="array" ref="AA104">IFERROR(IF(INDEX(SubsidieTabel!$Q$1:$T$9,MATCH($F104,SubsidieTabel!$Q$1:$Q$9,0),IFERROR(MATCH(Methode_Keuze,SubsidieTabel!$Q$1:$T$1,0),2))&lt;&gt;1=TRUE,"ja",""),"")</f>
        <v/>
      </c>
    </row>
    <row r="105" spans="1:27" ht="15" customHeight="1" x14ac:dyDescent="0.25">
      <c r="A105" s="85"/>
      <c r="B105" s="217" t="str">
        <f>IF(A105&lt;&gt;"",_xlfn.MAXIFS($B$1:B104,$A$1:A104,A105)+1,"")</f>
        <v/>
      </c>
      <c r="C105" s="50"/>
      <c r="D105" s="50"/>
      <c r="E105" s="50"/>
      <c r="F105" s="50"/>
      <c r="G105" s="280"/>
      <c r="H105" s="293"/>
      <c r="I105" s="292"/>
      <c r="J105" s="292"/>
      <c r="K105" s="200"/>
      <c r="L105" s="200"/>
      <c r="M105" s="89" t="str">
        <f>IFERROR(VLOOKUP(H105,Lijsten!$H$1:$I$100,2,0),"")</f>
        <v/>
      </c>
      <c r="N105" s="89" t="str" cm="1">
        <f t="array" ref="N105">IFERROR(_xlfn.IFS(AND(LEFT(F105,6)="Arbeid",RIGHT(F105,3)&lt;&gt;"IKS"),IFERROR(VLOOKUP($G105,Tb_KostenTypen[],2,0),"tarief"),RIGHT(F105,3)="IKS","Uurtarief",LEFT(F105,6)="Arbeid","Uurtarief",AND(LEFT(F105,8)="Bijdrage",RIGHT(F105,15)="(vrijwilligers)"),"Vast tarief"),"")</f>
        <v/>
      </c>
      <c r="O105" s="90"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0"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1"/>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59"/>
      <c r="Z105" s="49"/>
      <c r="AA105" s="37" t="str" cm="1">
        <f t="array" ref="AA105">IFERROR(IF(INDEX(SubsidieTabel!$Q$1:$T$9,MATCH($F105,SubsidieTabel!$Q$1:$Q$9,0),IFERROR(MATCH(Methode_Keuze,SubsidieTabel!$Q$1:$T$1,0),2))&lt;&gt;1=TRUE,"ja",""),"")</f>
        <v/>
      </c>
    </row>
    <row r="106" spans="1:27" ht="15" customHeight="1" x14ac:dyDescent="0.25">
      <c r="A106" s="85"/>
      <c r="B106" s="217" t="str">
        <f>IF(A106&lt;&gt;"",_xlfn.MAXIFS($B$1:B105,$A$1:A105,A106)+1,"")</f>
        <v/>
      </c>
      <c r="C106" s="50"/>
      <c r="D106" s="50"/>
      <c r="E106" s="50"/>
      <c r="F106" s="50"/>
      <c r="G106" s="280"/>
      <c r="H106" s="293"/>
      <c r="I106" s="292"/>
      <c r="J106" s="292"/>
      <c r="K106" s="200"/>
      <c r="L106" s="200"/>
      <c r="M106" s="89" t="str">
        <f>IFERROR(VLOOKUP(H106,Lijsten!$H$1:$I$100,2,0),"")</f>
        <v/>
      </c>
      <c r="N106" s="89" t="str" cm="1">
        <f t="array" ref="N106">IFERROR(_xlfn.IFS(AND(LEFT(F106,6)="Arbeid",RIGHT(F106,3)&lt;&gt;"IKS"),IFERROR(VLOOKUP($G106,Tb_KostenTypen[],2,0),"tarief"),RIGHT(F106,3)="IKS","Uurtarief",LEFT(F106,6)="Arbeid","Uurtarief",AND(LEFT(F106,8)="Bijdrage",RIGHT(F106,15)="(vrijwilligers)"),"Vast tarief"),"")</f>
        <v/>
      </c>
      <c r="O106" s="90"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0"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1"/>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59"/>
      <c r="Z106" s="49"/>
      <c r="AA106" s="37" t="str" cm="1">
        <f t="array" ref="AA106">IFERROR(IF(INDEX(SubsidieTabel!$Q$1:$T$9,MATCH($F106,SubsidieTabel!$Q$1:$Q$9,0),IFERROR(MATCH(Methode_Keuze,SubsidieTabel!$Q$1:$T$1,0),2))&lt;&gt;1=TRUE,"ja",""),"")</f>
        <v/>
      </c>
    </row>
    <row r="107" spans="1:27" ht="15" customHeight="1" x14ac:dyDescent="0.25">
      <c r="A107" s="85"/>
      <c r="B107" s="217" t="str">
        <f>IF(A107&lt;&gt;"",_xlfn.MAXIFS($B$1:B106,$A$1:A106,A107)+1,"")</f>
        <v/>
      </c>
      <c r="C107" s="50"/>
      <c r="D107" s="50"/>
      <c r="E107" s="50"/>
      <c r="F107" s="50"/>
      <c r="G107" s="280"/>
      <c r="H107" s="293"/>
      <c r="I107" s="292"/>
      <c r="J107" s="292"/>
      <c r="K107" s="200"/>
      <c r="L107" s="200"/>
      <c r="M107" s="89" t="str">
        <f>IFERROR(VLOOKUP(H107,Lijsten!$H$1:$I$100,2,0),"")</f>
        <v/>
      </c>
      <c r="N107" s="89" t="str" cm="1">
        <f t="array" ref="N107">IFERROR(_xlfn.IFS(AND(LEFT(F107,6)="Arbeid",RIGHT(F107,3)&lt;&gt;"IKS"),IFERROR(VLOOKUP($G107,Tb_KostenTypen[],2,0),"tarief"),RIGHT(F107,3)="IKS","Uurtarief",LEFT(F107,6)="Arbeid","Uurtarief",AND(LEFT(F107,8)="Bijdrage",RIGHT(F107,15)="(vrijwilligers)"),"Vast tarief"),"")</f>
        <v/>
      </c>
      <c r="O107" s="90"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0"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1"/>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59"/>
      <c r="Z107" s="49"/>
      <c r="AA107" s="37" t="str" cm="1">
        <f t="array" ref="AA107">IFERROR(IF(INDEX(SubsidieTabel!$Q$1:$T$9,MATCH($F107,SubsidieTabel!$Q$1:$Q$9,0),IFERROR(MATCH(Methode_Keuze,SubsidieTabel!$Q$1:$T$1,0),2))&lt;&gt;1=TRUE,"ja",""),"")</f>
        <v/>
      </c>
    </row>
    <row r="108" spans="1:27" ht="15" customHeight="1" x14ac:dyDescent="0.25">
      <c r="A108" s="85"/>
      <c r="B108" s="217" t="str">
        <f>IF(A108&lt;&gt;"",_xlfn.MAXIFS($B$1:B107,$A$1:A107,A108)+1,"")</f>
        <v/>
      </c>
      <c r="C108" s="50"/>
      <c r="D108" s="50"/>
      <c r="E108" s="50"/>
      <c r="F108" s="50"/>
      <c r="G108" s="280"/>
      <c r="H108" s="293"/>
      <c r="I108" s="292"/>
      <c r="J108" s="292"/>
      <c r="K108" s="200"/>
      <c r="L108" s="200"/>
      <c r="M108" s="89" t="str">
        <f>IFERROR(VLOOKUP(H108,Lijsten!$H$1:$I$100,2,0),"")</f>
        <v/>
      </c>
      <c r="N108" s="89" t="str" cm="1">
        <f t="array" ref="N108">IFERROR(_xlfn.IFS(AND(LEFT(F108,6)="Arbeid",RIGHT(F108,3)&lt;&gt;"IKS"),IFERROR(VLOOKUP($G108,Tb_KostenTypen[],2,0),"tarief"),RIGHT(F108,3)="IKS","Uurtarief",LEFT(F108,6)="Arbeid","Uurtarief",AND(LEFT(F108,8)="Bijdrage",RIGHT(F108,15)="(vrijwilligers)"),"Vast tarief"),"")</f>
        <v/>
      </c>
      <c r="O108" s="90"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0"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1"/>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59"/>
      <c r="Z108" s="49"/>
      <c r="AA108" s="37" t="str" cm="1">
        <f t="array" ref="AA108">IFERROR(IF(INDEX(SubsidieTabel!$Q$1:$T$9,MATCH($F108,SubsidieTabel!$Q$1:$Q$9,0),IFERROR(MATCH(Methode_Keuze,SubsidieTabel!$Q$1:$T$1,0),2))&lt;&gt;1=TRUE,"ja",""),"")</f>
        <v/>
      </c>
    </row>
    <row r="109" spans="1:27" ht="15" customHeight="1" x14ac:dyDescent="0.25">
      <c r="A109" s="85"/>
      <c r="B109" s="217" t="str">
        <f>IF(A109&lt;&gt;"",_xlfn.MAXIFS($B$1:B108,$A$1:A108,A109)+1,"")</f>
        <v/>
      </c>
      <c r="C109" s="50"/>
      <c r="D109" s="50"/>
      <c r="E109" s="50"/>
      <c r="F109" s="50"/>
      <c r="G109" s="280"/>
      <c r="H109" s="293"/>
      <c r="I109" s="292"/>
      <c r="J109" s="292"/>
      <c r="K109" s="200"/>
      <c r="L109" s="200"/>
      <c r="M109" s="89" t="str">
        <f>IFERROR(VLOOKUP(H109,Lijsten!$H$1:$I$100,2,0),"")</f>
        <v/>
      </c>
      <c r="N109" s="89" t="str" cm="1">
        <f t="array" ref="N109">IFERROR(_xlfn.IFS(AND(LEFT(F109,6)="Arbeid",RIGHT(F109,3)&lt;&gt;"IKS"),IFERROR(VLOOKUP($G109,Tb_KostenTypen[],2,0),"tarief"),RIGHT(F109,3)="IKS","Uurtarief",LEFT(F109,6)="Arbeid","Uurtarief",AND(LEFT(F109,8)="Bijdrage",RIGHT(F109,15)="(vrijwilligers)"),"Vast tarief"),"")</f>
        <v/>
      </c>
      <c r="O109" s="90"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0"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1"/>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59"/>
      <c r="Z109" s="49"/>
      <c r="AA109" s="37" t="str" cm="1">
        <f t="array" ref="AA109">IFERROR(IF(INDEX(SubsidieTabel!$Q$1:$T$9,MATCH($F109,SubsidieTabel!$Q$1:$Q$9,0),IFERROR(MATCH(Methode_Keuze,SubsidieTabel!$Q$1:$T$1,0),2))&lt;&gt;1=TRUE,"ja",""),"")</f>
        <v/>
      </c>
    </row>
    <row r="110" spans="1:27" ht="15" customHeight="1" x14ac:dyDescent="0.25">
      <c r="A110" s="85"/>
      <c r="B110" s="217" t="str">
        <f>IF(A110&lt;&gt;"",_xlfn.MAXIFS($B$1:B109,$A$1:A109,A110)+1,"")</f>
        <v/>
      </c>
      <c r="C110" s="50"/>
      <c r="D110" s="50"/>
      <c r="E110" s="50"/>
      <c r="F110" s="50"/>
      <c r="G110" s="280"/>
      <c r="H110" s="293"/>
      <c r="I110" s="292"/>
      <c r="J110" s="292"/>
      <c r="K110" s="200"/>
      <c r="L110" s="200"/>
      <c r="M110" s="89" t="str">
        <f>IFERROR(VLOOKUP(H110,Lijsten!$H$1:$I$100,2,0),"")</f>
        <v/>
      </c>
      <c r="N110" s="89" t="str" cm="1">
        <f t="array" ref="N110">IFERROR(_xlfn.IFS(AND(LEFT(F110,6)="Arbeid",RIGHT(F110,3)&lt;&gt;"IKS"),IFERROR(VLOOKUP($G110,Tb_KostenTypen[],2,0),"tarief"),RIGHT(F110,3)="IKS","Uurtarief",LEFT(F110,6)="Arbeid","Uurtarief",AND(LEFT(F110,8)="Bijdrage",RIGHT(F110,15)="(vrijwilligers)"),"Vast tarief"),"")</f>
        <v/>
      </c>
      <c r="O110" s="90"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0"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1"/>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59"/>
      <c r="Z110" s="49"/>
      <c r="AA110" s="37" t="str" cm="1">
        <f t="array" ref="AA110">IFERROR(IF(INDEX(SubsidieTabel!$Q$1:$T$9,MATCH($F110,SubsidieTabel!$Q$1:$Q$9,0),IFERROR(MATCH(Methode_Keuze,SubsidieTabel!$Q$1:$T$1,0),2))&lt;&gt;1=TRUE,"ja",""),"")</f>
        <v/>
      </c>
    </row>
    <row r="111" spans="1:27" ht="15" customHeight="1" x14ac:dyDescent="0.25">
      <c r="A111" s="85"/>
      <c r="B111" s="217" t="str">
        <f>IF(A111&lt;&gt;"",_xlfn.MAXIFS($B$1:B110,$A$1:A110,A111)+1,"")</f>
        <v/>
      </c>
      <c r="C111" s="50"/>
      <c r="D111" s="50"/>
      <c r="E111" s="50"/>
      <c r="F111" s="50"/>
      <c r="G111" s="280"/>
      <c r="H111" s="293"/>
      <c r="I111" s="292"/>
      <c r="J111" s="292"/>
      <c r="K111" s="200"/>
      <c r="L111" s="200"/>
      <c r="M111" s="89" t="str">
        <f>IFERROR(VLOOKUP(H111,Lijsten!$H$1:$I$100,2,0),"")</f>
        <v/>
      </c>
      <c r="N111" s="89" t="str" cm="1">
        <f t="array" ref="N111">IFERROR(_xlfn.IFS(AND(LEFT(F111,6)="Arbeid",RIGHT(F111,3)&lt;&gt;"IKS"),IFERROR(VLOOKUP($G111,Tb_KostenTypen[],2,0),"tarief"),RIGHT(F111,3)="IKS","Uurtarief",LEFT(F111,6)="Arbeid","Uurtarief",AND(LEFT(F111,8)="Bijdrage",RIGHT(F111,15)="(vrijwilligers)"),"Vast tarief"),"")</f>
        <v/>
      </c>
      <c r="O111" s="90"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0"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1"/>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59"/>
      <c r="Z111" s="49"/>
      <c r="AA111" s="37" t="str" cm="1">
        <f t="array" ref="AA111">IFERROR(IF(INDEX(SubsidieTabel!$Q$1:$T$9,MATCH($F111,SubsidieTabel!$Q$1:$Q$9,0),IFERROR(MATCH(Methode_Keuze,SubsidieTabel!$Q$1:$T$1,0),2))&lt;&gt;1=TRUE,"ja",""),"")</f>
        <v/>
      </c>
    </row>
    <row r="112" spans="1:27" ht="15" customHeight="1" x14ac:dyDescent="0.25">
      <c r="A112" s="85"/>
      <c r="B112" s="217" t="str">
        <f>IF(A112&lt;&gt;"",_xlfn.MAXIFS($B$1:B111,$A$1:A111,A112)+1,"")</f>
        <v/>
      </c>
      <c r="C112" s="50"/>
      <c r="D112" s="50"/>
      <c r="E112" s="50"/>
      <c r="F112" s="50"/>
      <c r="G112" s="280"/>
      <c r="H112" s="293"/>
      <c r="I112" s="292"/>
      <c r="J112" s="292"/>
      <c r="K112" s="200"/>
      <c r="L112" s="200"/>
      <c r="M112" s="89" t="str">
        <f>IFERROR(VLOOKUP(H112,Lijsten!$H$1:$I$100,2,0),"")</f>
        <v/>
      </c>
      <c r="N112" s="89" t="str" cm="1">
        <f t="array" ref="N112">IFERROR(_xlfn.IFS(AND(LEFT(F112,6)="Arbeid",RIGHT(F112,3)&lt;&gt;"IKS"),IFERROR(VLOOKUP($G112,Tb_KostenTypen[],2,0),"tarief"),RIGHT(F112,3)="IKS","Uurtarief",LEFT(F112,6)="Arbeid","Uurtarief",AND(LEFT(F112,8)="Bijdrage",RIGHT(F112,15)="(vrijwilligers)"),"Vast tarief"),"")</f>
        <v/>
      </c>
      <c r="O112" s="90"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0"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1"/>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59"/>
      <c r="Z112" s="49"/>
      <c r="AA112" s="37" t="str" cm="1">
        <f t="array" ref="AA112">IFERROR(IF(INDEX(SubsidieTabel!$Q$1:$T$9,MATCH($F112,SubsidieTabel!$Q$1:$Q$9,0),IFERROR(MATCH(Methode_Keuze,SubsidieTabel!$Q$1:$T$1,0),2))&lt;&gt;1=TRUE,"ja",""),"")</f>
        <v/>
      </c>
    </row>
    <row r="113" spans="1:27" ht="15" customHeight="1" x14ac:dyDescent="0.25">
      <c r="A113" s="85"/>
      <c r="B113" s="217" t="str">
        <f>IF(A113&lt;&gt;"",_xlfn.MAXIFS($B$1:B112,$A$1:A112,A113)+1,"")</f>
        <v/>
      </c>
      <c r="C113" s="50"/>
      <c r="D113" s="50"/>
      <c r="E113" s="50"/>
      <c r="F113" s="50"/>
      <c r="G113" s="280"/>
      <c r="H113" s="293"/>
      <c r="I113" s="292"/>
      <c r="J113" s="292"/>
      <c r="K113" s="200"/>
      <c r="L113" s="200"/>
      <c r="M113" s="89" t="str">
        <f>IFERROR(VLOOKUP(H113,Lijsten!$H$1:$I$100,2,0),"")</f>
        <v/>
      </c>
      <c r="N113" s="89" t="str" cm="1">
        <f t="array" ref="N113">IFERROR(_xlfn.IFS(AND(LEFT(F113,6)="Arbeid",RIGHT(F113,3)&lt;&gt;"IKS"),IFERROR(VLOOKUP($G113,Tb_KostenTypen[],2,0),"tarief"),RIGHT(F113,3)="IKS","Uurtarief",LEFT(F113,6)="Arbeid","Uurtarief",AND(LEFT(F113,8)="Bijdrage",RIGHT(F113,15)="(vrijwilligers)"),"Vast tarief"),"")</f>
        <v/>
      </c>
      <c r="O113" s="90"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0"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1"/>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59"/>
      <c r="Z113" s="49"/>
      <c r="AA113" s="37" t="str" cm="1">
        <f t="array" ref="AA113">IFERROR(IF(INDEX(SubsidieTabel!$Q$1:$T$9,MATCH($F113,SubsidieTabel!$Q$1:$Q$9,0),IFERROR(MATCH(Methode_Keuze,SubsidieTabel!$Q$1:$T$1,0),2))&lt;&gt;1=TRUE,"ja",""),"")</f>
        <v/>
      </c>
    </row>
    <row r="114" spans="1:27" ht="15" customHeight="1" x14ac:dyDescent="0.25">
      <c r="A114" s="85"/>
      <c r="B114" s="217" t="str">
        <f>IF(A114&lt;&gt;"",_xlfn.MAXIFS($B$1:B113,$A$1:A113,A114)+1,"")</f>
        <v/>
      </c>
      <c r="C114" s="50"/>
      <c r="D114" s="50"/>
      <c r="E114" s="50"/>
      <c r="F114" s="50"/>
      <c r="G114" s="280"/>
      <c r="H114" s="293"/>
      <c r="I114" s="292"/>
      <c r="J114" s="292"/>
      <c r="K114" s="200"/>
      <c r="L114" s="200"/>
      <c r="M114" s="89" t="str">
        <f>IFERROR(VLOOKUP(H114,Lijsten!$H$1:$I$100,2,0),"")</f>
        <v/>
      </c>
      <c r="N114" s="89" t="str" cm="1">
        <f t="array" ref="N114">IFERROR(_xlfn.IFS(AND(LEFT(F114,6)="Arbeid",RIGHT(F114,3)&lt;&gt;"IKS"),IFERROR(VLOOKUP($G114,Tb_KostenTypen[],2,0),"tarief"),RIGHT(F114,3)="IKS","Uurtarief",LEFT(F114,6)="Arbeid","Uurtarief",AND(LEFT(F114,8)="Bijdrage",RIGHT(F114,15)="(vrijwilligers)"),"Vast tarief"),"")</f>
        <v/>
      </c>
      <c r="O114" s="90"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0"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1"/>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59"/>
      <c r="Z114" s="49"/>
      <c r="AA114" s="37" t="str" cm="1">
        <f t="array" ref="AA114">IFERROR(IF(INDEX(SubsidieTabel!$Q$1:$T$9,MATCH($F114,SubsidieTabel!$Q$1:$Q$9,0),IFERROR(MATCH(Methode_Keuze,SubsidieTabel!$Q$1:$T$1,0),2))&lt;&gt;1=TRUE,"ja",""),"")</f>
        <v/>
      </c>
    </row>
    <row r="115" spans="1:27" ht="15" customHeight="1" x14ac:dyDescent="0.25">
      <c r="A115" s="85"/>
      <c r="B115" s="217" t="str">
        <f>IF(A115&lt;&gt;"",_xlfn.MAXIFS($B$1:B114,$A$1:A114,A115)+1,"")</f>
        <v/>
      </c>
      <c r="C115" s="50"/>
      <c r="D115" s="50"/>
      <c r="E115" s="50"/>
      <c r="F115" s="50"/>
      <c r="G115" s="280"/>
      <c r="H115" s="293"/>
      <c r="I115" s="292"/>
      <c r="J115" s="292"/>
      <c r="K115" s="200"/>
      <c r="L115" s="200"/>
      <c r="M115" s="89" t="str">
        <f>IFERROR(VLOOKUP(H115,Lijsten!$H$1:$I$100,2,0),"")</f>
        <v/>
      </c>
      <c r="N115" s="89" t="str" cm="1">
        <f t="array" ref="N115">IFERROR(_xlfn.IFS(AND(LEFT(F115,6)="Arbeid",RIGHT(F115,3)&lt;&gt;"IKS"),IFERROR(VLOOKUP($G115,Tb_KostenTypen[],2,0),"tarief"),RIGHT(F115,3)="IKS","Uurtarief",LEFT(F115,6)="Arbeid","Uurtarief",AND(LEFT(F115,8)="Bijdrage",RIGHT(F115,15)="(vrijwilligers)"),"Vast tarief"),"")</f>
        <v/>
      </c>
      <c r="O115" s="90"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0"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1"/>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59"/>
      <c r="Z115" s="49"/>
      <c r="AA115" s="37" t="str" cm="1">
        <f t="array" ref="AA115">IFERROR(IF(INDEX(SubsidieTabel!$Q$1:$T$9,MATCH($F115,SubsidieTabel!$Q$1:$Q$9,0),IFERROR(MATCH(Methode_Keuze,SubsidieTabel!$Q$1:$T$1,0),2))&lt;&gt;1=TRUE,"ja",""),"")</f>
        <v/>
      </c>
    </row>
    <row r="116" spans="1:27" ht="15" customHeight="1" x14ac:dyDescent="0.25">
      <c r="A116" s="85"/>
      <c r="B116" s="217" t="str">
        <f>IF(A116&lt;&gt;"",_xlfn.MAXIFS($B$1:B115,$A$1:A115,A116)+1,"")</f>
        <v/>
      </c>
      <c r="C116" s="50"/>
      <c r="D116" s="50"/>
      <c r="E116" s="50"/>
      <c r="F116" s="50"/>
      <c r="G116" s="280"/>
      <c r="H116" s="293"/>
      <c r="I116" s="292"/>
      <c r="J116" s="292"/>
      <c r="K116" s="200"/>
      <c r="L116" s="200"/>
      <c r="M116" s="89" t="str">
        <f>IFERROR(VLOOKUP(H116,Lijsten!$H$1:$I$100,2,0),"")</f>
        <v/>
      </c>
      <c r="N116" s="89" t="str" cm="1">
        <f t="array" ref="N116">IFERROR(_xlfn.IFS(AND(LEFT(F116,6)="Arbeid",RIGHT(F116,3)&lt;&gt;"IKS"),IFERROR(VLOOKUP($G116,Tb_KostenTypen[],2,0),"tarief"),RIGHT(F116,3)="IKS","Uurtarief",LEFT(F116,6)="Arbeid","Uurtarief",AND(LEFT(F116,8)="Bijdrage",RIGHT(F116,15)="(vrijwilligers)"),"Vast tarief"),"")</f>
        <v/>
      </c>
      <c r="O116" s="90"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0"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1"/>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59"/>
      <c r="Z116" s="49"/>
      <c r="AA116" s="37" t="str" cm="1">
        <f t="array" ref="AA116">IFERROR(IF(INDEX(SubsidieTabel!$Q$1:$T$9,MATCH($F116,SubsidieTabel!$Q$1:$Q$9,0),IFERROR(MATCH(Methode_Keuze,SubsidieTabel!$Q$1:$T$1,0),2))&lt;&gt;1=TRUE,"ja",""),"")</f>
        <v/>
      </c>
    </row>
    <row r="117" spans="1:27" ht="15" customHeight="1" x14ac:dyDescent="0.25">
      <c r="A117" s="85"/>
      <c r="B117" s="217" t="str">
        <f>IF(A117&lt;&gt;"",_xlfn.MAXIFS($B$1:B116,$A$1:A116,A117)+1,"")</f>
        <v/>
      </c>
      <c r="C117" s="50"/>
      <c r="D117" s="50"/>
      <c r="E117" s="50"/>
      <c r="F117" s="50"/>
      <c r="G117" s="280"/>
      <c r="H117" s="293"/>
      <c r="I117" s="292"/>
      <c r="J117" s="292"/>
      <c r="K117" s="200"/>
      <c r="L117" s="200"/>
      <c r="M117" s="89" t="str">
        <f>IFERROR(VLOOKUP(H117,Lijsten!$H$1:$I$100,2,0),"")</f>
        <v/>
      </c>
      <c r="N117" s="89" t="str" cm="1">
        <f t="array" ref="N117">IFERROR(_xlfn.IFS(AND(LEFT(F117,6)="Arbeid",RIGHT(F117,3)&lt;&gt;"IKS"),IFERROR(VLOOKUP($G117,Tb_KostenTypen[],2,0),"tarief"),RIGHT(F117,3)="IKS","Uurtarief",LEFT(F117,6)="Arbeid","Uurtarief",AND(LEFT(F117,8)="Bijdrage",RIGHT(F117,15)="(vrijwilligers)"),"Vast tarief"),"")</f>
        <v/>
      </c>
      <c r="O117" s="90"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0"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1"/>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59"/>
      <c r="Z117" s="49"/>
      <c r="AA117" s="37" t="str" cm="1">
        <f t="array" ref="AA117">IFERROR(IF(INDEX(SubsidieTabel!$Q$1:$T$9,MATCH($F117,SubsidieTabel!$Q$1:$Q$9,0),IFERROR(MATCH(Methode_Keuze,SubsidieTabel!$Q$1:$T$1,0),2))&lt;&gt;1=TRUE,"ja",""),"")</f>
        <v/>
      </c>
    </row>
    <row r="118" spans="1:27" ht="15" customHeight="1" x14ac:dyDescent="0.25">
      <c r="A118" s="85"/>
      <c r="B118" s="217" t="str">
        <f>IF(A118&lt;&gt;"",_xlfn.MAXIFS($B$1:B117,$A$1:A117,A118)+1,"")</f>
        <v/>
      </c>
      <c r="C118" s="50"/>
      <c r="D118" s="50"/>
      <c r="E118" s="50"/>
      <c r="F118" s="50"/>
      <c r="G118" s="280"/>
      <c r="H118" s="293"/>
      <c r="I118" s="292"/>
      <c r="J118" s="292"/>
      <c r="K118" s="200"/>
      <c r="L118" s="200"/>
      <c r="M118" s="89" t="str">
        <f>IFERROR(VLOOKUP(H118,Lijsten!$H$1:$I$100,2,0),"")</f>
        <v/>
      </c>
      <c r="N118" s="89" t="str" cm="1">
        <f t="array" ref="N118">IFERROR(_xlfn.IFS(AND(LEFT(F118,6)="Arbeid",RIGHT(F118,3)&lt;&gt;"IKS"),IFERROR(VLOOKUP($G118,Tb_KostenTypen[],2,0),"tarief"),RIGHT(F118,3)="IKS","Uurtarief",LEFT(F118,6)="Arbeid","Uurtarief",AND(LEFT(F118,8)="Bijdrage",RIGHT(F118,15)="(vrijwilligers)"),"Vast tarief"),"")</f>
        <v/>
      </c>
      <c r="O118" s="90"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0"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1"/>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59"/>
      <c r="Z118" s="49"/>
      <c r="AA118" s="37" t="str" cm="1">
        <f t="array" ref="AA118">IFERROR(IF(INDEX(SubsidieTabel!$Q$1:$T$9,MATCH($F118,SubsidieTabel!$Q$1:$Q$9,0),IFERROR(MATCH(Methode_Keuze,SubsidieTabel!$Q$1:$T$1,0),2))&lt;&gt;1=TRUE,"ja",""),"")</f>
        <v/>
      </c>
    </row>
    <row r="119" spans="1:27" ht="15" customHeight="1" x14ac:dyDescent="0.25">
      <c r="A119" s="85"/>
      <c r="B119" s="217" t="str">
        <f>IF(A119&lt;&gt;"",_xlfn.MAXIFS($B$1:B118,$A$1:A118,A119)+1,"")</f>
        <v/>
      </c>
      <c r="C119" s="50"/>
      <c r="D119" s="50"/>
      <c r="E119" s="50"/>
      <c r="F119" s="50"/>
      <c r="G119" s="280"/>
      <c r="H119" s="293"/>
      <c r="I119" s="292"/>
      <c r="J119" s="292"/>
      <c r="K119" s="200"/>
      <c r="L119" s="200"/>
      <c r="M119" s="89" t="str">
        <f>IFERROR(VLOOKUP(H119,Lijsten!$H$1:$I$100,2,0),"")</f>
        <v/>
      </c>
      <c r="N119" s="89" t="str" cm="1">
        <f t="array" ref="N119">IFERROR(_xlfn.IFS(AND(LEFT(F119,6)="Arbeid",RIGHT(F119,3)&lt;&gt;"IKS"),IFERROR(VLOOKUP($G119,Tb_KostenTypen[],2,0),"tarief"),RIGHT(F119,3)="IKS","Uurtarief",LEFT(F119,6)="Arbeid","Uurtarief",AND(LEFT(F119,8)="Bijdrage",RIGHT(F119,15)="(vrijwilligers)"),"Vast tarief"),"")</f>
        <v/>
      </c>
      <c r="O119" s="90"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0"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1"/>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59"/>
      <c r="Z119" s="49"/>
      <c r="AA119" s="37" t="str" cm="1">
        <f t="array" ref="AA119">IFERROR(IF(INDEX(SubsidieTabel!$Q$1:$T$9,MATCH($F119,SubsidieTabel!$Q$1:$Q$9,0),IFERROR(MATCH(Methode_Keuze,SubsidieTabel!$Q$1:$T$1,0),2))&lt;&gt;1=TRUE,"ja",""),"")</f>
        <v/>
      </c>
    </row>
    <row r="120" spans="1:27" ht="15" customHeight="1" x14ac:dyDescent="0.25">
      <c r="A120" s="85"/>
      <c r="B120" s="217" t="str">
        <f>IF(A120&lt;&gt;"",_xlfn.MAXIFS($B$1:B119,$A$1:A119,A120)+1,"")</f>
        <v/>
      </c>
      <c r="C120" s="50"/>
      <c r="D120" s="50"/>
      <c r="E120" s="50"/>
      <c r="F120" s="50"/>
      <c r="G120" s="280"/>
      <c r="H120" s="293"/>
      <c r="I120" s="292"/>
      <c r="J120" s="292"/>
      <c r="K120" s="200"/>
      <c r="L120" s="200"/>
      <c r="M120" s="89" t="str">
        <f>IFERROR(VLOOKUP(H120,Lijsten!$H$1:$I$100,2,0),"")</f>
        <v/>
      </c>
      <c r="N120" s="89" t="str" cm="1">
        <f t="array" ref="N120">IFERROR(_xlfn.IFS(AND(LEFT(F120,6)="Arbeid",RIGHT(F120,3)&lt;&gt;"IKS"),IFERROR(VLOOKUP($G120,Tb_KostenTypen[],2,0),"tarief"),RIGHT(F120,3)="IKS","Uurtarief",LEFT(F120,6)="Arbeid","Uurtarief",AND(LEFT(F120,8)="Bijdrage",RIGHT(F120,15)="(vrijwilligers)"),"Vast tarief"),"")</f>
        <v/>
      </c>
      <c r="O120" s="90"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0"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1"/>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59"/>
      <c r="Z120" s="49"/>
      <c r="AA120" s="37" t="str" cm="1">
        <f t="array" ref="AA120">IFERROR(IF(INDEX(SubsidieTabel!$Q$1:$T$9,MATCH($F120,SubsidieTabel!$Q$1:$Q$9,0),IFERROR(MATCH(Methode_Keuze,SubsidieTabel!$Q$1:$T$1,0),2))&lt;&gt;1=TRUE,"ja",""),"")</f>
        <v/>
      </c>
    </row>
    <row r="121" spans="1:27" ht="15" customHeight="1" x14ac:dyDescent="0.25">
      <c r="A121" s="85"/>
      <c r="B121" s="217" t="str">
        <f>IF(A121&lt;&gt;"",_xlfn.MAXIFS($B$1:B120,$A$1:A120,A121)+1,"")</f>
        <v/>
      </c>
      <c r="C121" s="50"/>
      <c r="D121" s="50"/>
      <c r="E121" s="50"/>
      <c r="F121" s="50"/>
      <c r="G121" s="280"/>
      <c r="H121" s="293"/>
      <c r="I121" s="292"/>
      <c r="J121" s="292"/>
      <c r="K121" s="200"/>
      <c r="L121" s="200"/>
      <c r="M121" s="89" t="str">
        <f>IFERROR(VLOOKUP(H121,Lijsten!$H$1:$I$100,2,0),"")</f>
        <v/>
      </c>
      <c r="N121" s="89" t="str" cm="1">
        <f t="array" ref="N121">IFERROR(_xlfn.IFS(AND(LEFT(F121,6)="Arbeid",RIGHT(F121,3)&lt;&gt;"IKS"),IFERROR(VLOOKUP($G121,Tb_KostenTypen[],2,0),"tarief"),RIGHT(F121,3)="IKS","Uurtarief",LEFT(F121,6)="Arbeid","Uurtarief",AND(LEFT(F121,8)="Bijdrage",RIGHT(F121,15)="(vrijwilligers)"),"Vast tarief"),"")</f>
        <v/>
      </c>
      <c r="O121" s="90"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0"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1"/>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59"/>
      <c r="Z121" s="49"/>
      <c r="AA121" s="37" t="str" cm="1">
        <f t="array" ref="AA121">IFERROR(IF(INDEX(SubsidieTabel!$Q$1:$T$9,MATCH($F121,SubsidieTabel!$Q$1:$Q$9,0),IFERROR(MATCH(Methode_Keuze,SubsidieTabel!$Q$1:$T$1,0),2))&lt;&gt;1=TRUE,"ja",""),"")</f>
        <v/>
      </c>
    </row>
    <row r="122" spans="1:27" ht="15" customHeight="1" x14ac:dyDescent="0.25">
      <c r="A122" s="85"/>
      <c r="B122" s="217" t="str">
        <f>IF(A122&lt;&gt;"",_xlfn.MAXIFS($B$1:B121,$A$1:A121,A122)+1,"")</f>
        <v/>
      </c>
      <c r="C122" s="50"/>
      <c r="D122" s="50"/>
      <c r="E122" s="50"/>
      <c r="F122" s="50"/>
      <c r="G122" s="280"/>
      <c r="H122" s="293"/>
      <c r="I122" s="292"/>
      <c r="J122" s="292"/>
      <c r="K122" s="200"/>
      <c r="L122" s="200"/>
      <c r="M122" s="89" t="str">
        <f>IFERROR(VLOOKUP(H122,Lijsten!$H$1:$I$100,2,0),"")</f>
        <v/>
      </c>
      <c r="N122" s="89" t="str" cm="1">
        <f t="array" ref="N122">IFERROR(_xlfn.IFS(AND(LEFT(F122,6)="Arbeid",RIGHT(F122,3)&lt;&gt;"IKS"),IFERROR(VLOOKUP($G122,Tb_KostenTypen[],2,0),"tarief"),RIGHT(F122,3)="IKS","Uurtarief",LEFT(F122,6)="Arbeid","Uurtarief",AND(LEFT(F122,8)="Bijdrage",RIGHT(F122,15)="(vrijwilligers)"),"Vast tarief"),"")</f>
        <v/>
      </c>
      <c r="O122" s="90"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0"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1"/>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59"/>
      <c r="Z122" s="49"/>
      <c r="AA122" s="37" t="str" cm="1">
        <f t="array" ref="AA122">IFERROR(IF(INDEX(SubsidieTabel!$Q$1:$T$9,MATCH($F122,SubsidieTabel!$Q$1:$Q$9,0),IFERROR(MATCH(Methode_Keuze,SubsidieTabel!$Q$1:$T$1,0),2))&lt;&gt;1=TRUE,"ja",""),"")</f>
        <v/>
      </c>
    </row>
    <row r="123" spans="1:27" ht="15" customHeight="1" x14ac:dyDescent="0.25">
      <c r="A123" s="85"/>
      <c r="B123" s="217" t="str">
        <f>IF(A123&lt;&gt;"",_xlfn.MAXIFS($B$1:B122,$A$1:A122,A123)+1,"")</f>
        <v/>
      </c>
      <c r="C123" s="50"/>
      <c r="D123" s="50"/>
      <c r="E123" s="50"/>
      <c r="F123" s="50"/>
      <c r="G123" s="280"/>
      <c r="H123" s="293"/>
      <c r="I123" s="292"/>
      <c r="J123" s="292"/>
      <c r="K123" s="200"/>
      <c r="L123" s="200"/>
      <c r="M123" s="89" t="str">
        <f>IFERROR(VLOOKUP(H123,Lijsten!$H$1:$I$100,2,0),"")</f>
        <v/>
      </c>
      <c r="N123" s="89" t="str" cm="1">
        <f t="array" ref="N123">IFERROR(_xlfn.IFS(AND(LEFT(F123,6)="Arbeid",RIGHT(F123,3)&lt;&gt;"IKS"),IFERROR(VLOOKUP($G123,Tb_KostenTypen[],2,0),"tarief"),RIGHT(F123,3)="IKS","Uurtarief",LEFT(F123,6)="Arbeid","Uurtarief",AND(LEFT(F123,8)="Bijdrage",RIGHT(F123,15)="(vrijwilligers)"),"Vast tarief"),"")</f>
        <v/>
      </c>
      <c r="O123" s="90"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0"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1"/>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59"/>
      <c r="Z123" s="49"/>
      <c r="AA123" s="37" t="str" cm="1">
        <f t="array" ref="AA123">IFERROR(IF(INDEX(SubsidieTabel!$Q$1:$T$9,MATCH($F123,SubsidieTabel!$Q$1:$Q$9,0),IFERROR(MATCH(Methode_Keuze,SubsidieTabel!$Q$1:$T$1,0),2))&lt;&gt;1=TRUE,"ja",""),"")</f>
        <v/>
      </c>
    </row>
    <row r="124" spans="1:27" ht="15" customHeight="1" x14ac:dyDescent="0.25">
      <c r="A124" s="85"/>
      <c r="B124" s="217" t="str">
        <f>IF(A124&lt;&gt;"",_xlfn.MAXIFS($B$1:B123,$A$1:A123,A124)+1,"")</f>
        <v/>
      </c>
      <c r="C124" s="50"/>
      <c r="D124" s="50"/>
      <c r="E124" s="50"/>
      <c r="F124" s="50"/>
      <c r="G124" s="280"/>
      <c r="H124" s="293"/>
      <c r="I124" s="292"/>
      <c r="J124" s="292"/>
      <c r="K124" s="200"/>
      <c r="L124" s="200"/>
      <c r="M124" s="89" t="str">
        <f>IFERROR(VLOOKUP(H124,Lijsten!$H$1:$I$100,2,0),"")</f>
        <v/>
      </c>
      <c r="N124" s="89" t="str" cm="1">
        <f t="array" ref="N124">IFERROR(_xlfn.IFS(AND(LEFT(F124,6)="Arbeid",RIGHT(F124,3)&lt;&gt;"IKS"),IFERROR(VLOOKUP($G124,Tb_KostenTypen[],2,0),"tarief"),RIGHT(F124,3)="IKS","Uurtarief",LEFT(F124,6)="Arbeid","Uurtarief",AND(LEFT(F124,8)="Bijdrage",RIGHT(F124,15)="(vrijwilligers)"),"Vast tarief"),"")</f>
        <v/>
      </c>
      <c r="O124" s="90"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0"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1"/>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59"/>
      <c r="Z124" s="49"/>
      <c r="AA124" s="37" t="str" cm="1">
        <f t="array" ref="AA124">IFERROR(IF(INDEX(SubsidieTabel!$Q$1:$T$9,MATCH($F124,SubsidieTabel!$Q$1:$Q$9,0),IFERROR(MATCH(Methode_Keuze,SubsidieTabel!$Q$1:$T$1,0),2))&lt;&gt;1=TRUE,"ja",""),"")</f>
        <v/>
      </c>
    </row>
    <row r="125" spans="1:27" ht="15" customHeight="1" x14ac:dyDescent="0.25">
      <c r="A125" s="85"/>
      <c r="B125" s="217" t="str">
        <f>IF(A125&lt;&gt;"",_xlfn.MAXIFS($B$1:B124,$A$1:A124,A125)+1,"")</f>
        <v/>
      </c>
      <c r="C125" s="50"/>
      <c r="D125" s="50"/>
      <c r="E125" s="50"/>
      <c r="F125" s="50"/>
      <c r="G125" s="280"/>
      <c r="H125" s="293"/>
      <c r="I125" s="292"/>
      <c r="J125" s="292"/>
      <c r="K125" s="200"/>
      <c r="L125" s="200"/>
      <c r="M125" s="89" t="str">
        <f>IFERROR(VLOOKUP(H125,Lijsten!$H$1:$I$100,2,0),"")</f>
        <v/>
      </c>
      <c r="N125" s="89" t="str" cm="1">
        <f t="array" ref="N125">IFERROR(_xlfn.IFS(AND(LEFT(F125,6)="Arbeid",RIGHT(F125,3)&lt;&gt;"IKS"),IFERROR(VLOOKUP($G125,Tb_KostenTypen[],2,0),"tarief"),RIGHT(F125,3)="IKS","Uurtarief",LEFT(F125,6)="Arbeid","Uurtarief",AND(LEFT(F125,8)="Bijdrage",RIGHT(F125,15)="(vrijwilligers)"),"Vast tarief"),"")</f>
        <v/>
      </c>
      <c r="O125" s="90"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0"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1"/>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59"/>
      <c r="Z125" s="49"/>
      <c r="AA125" s="37" t="str" cm="1">
        <f t="array" ref="AA125">IFERROR(IF(INDEX(SubsidieTabel!$Q$1:$T$9,MATCH($F125,SubsidieTabel!$Q$1:$Q$9,0),IFERROR(MATCH(Methode_Keuze,SubsidieTabel!$Q$1:$T$1,0),2))&lt;&gt;1=TRUE,"ja",""),"")</f>
        <v/>
      </c>
    </row>
    <row r="126" spans="1:27" ht="15" customHeight="1" x14ac:dyDescent="0.25">
      <c r="A126" s="85"/>
      <c r="B126" s="217" t="str">
        <f>IF(A126&lt;&gt;"",_xlfn.MAXIFS($B$1:B125,$A$1:A125,A126)+1,"")</f>
        <v/>
      </c>
      <c r="C126" s="50"/>
      <c r="D126" s="50"/>
      <c r="E126" s="50"/>
      <c r="F126" s="50"/>
      <c r="G126" s="280"/>
      <c r="H126" s="293"/>
      <c r="I126" s="292"/>
      <c r="J126" s="292"/>
      <c r="K126" s="200"/>
      <c r="L126" s="200"/>
      <c r="M126" s="89" t="str">
        <f>IFERROR(VLOOKUP(H126,Lijsten!$H$1:$I$100,2,0),"")</f>
        <v/>
      </c>
      <c r="N126" s="89" t="str" cm="1">
        <f t="array" ref="N126">IFERROR(_xlfn.IFS(AND(LEFT(F126,6)="Arbeid",RIGHT(F126,3)&lt;&gt;"IKS"),IFERROR(VLOOKUP($G126,Tb_KostenTypen[],2,0),"tarief"),RIGHT(F126,3)="IKS","Uurtarief",LEFT(F126,6)="Arbeid","Uurtarief",AND(LEFT(F126,8)="Bijdrage",RIGHT(F126,15)="(vrijwilligers)"),"Vast tarief"),"")</f>
        <v/>
      </c>
      <c r="O126" s="90"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0"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1"/>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59"/>
      <c r="Z126" s="49"/>
      <c r="AA126" s="37" t="str" cm="1">
        <f t="array" ref="AA126">IFERROR(IF(INDEX(SubsidieTabel!$Q$1:$T$9,MATCH($F126,SubsidieTabel!$Q$1:$Q$9,0),IFERROR(MATCH(Methode_Keuze,SubsidieTabel!$Q$1:$T$1,0),2))&lt;&gt;1=TRUE,"ja",""),"")</f>
        <v/>
      </c>
    </row>
    <row r="127" spans="1:27" ht="15" customHeight="1" x14ac:dyDescent="0.25">
      <c r="A127" s="85"/>
      <c r="B127" s="217" t="str">
        <f>IF(A127&lt;&gt;"",_xlfn.MAXIFS($B$1:B126,$A$1:A126,A127)+1,"")</f>
        <v/>
      </c>
      <c r="C127" s="50"/>
      <c r="D127" s="50"/>
      <c r="E127" s="50"/>
      <c r="F127" s="50"/>
      <c r="G127" s="280"/>
      <c r="H127" s="293"/>
      <c r="I127" s="292"/>
      <c r="J127" s="292"/>
      <c r="K127" s="200"/>
      <c r="L127" s="200"/>
      <c r="M127" s="89" t="str">
        <f>IFERROR(VLOOKUP(H127,Lijsten!$H$1:$I$100,2,0),"")</f>
        <v/>
      </c>
      <c r="N127" s="89" t="str" cm="1">
        <f t="array" ref="N127">IFERROR(_xlfn.IFS(AND(LEFT(F127,6)="Arbeid",RIGHT(F127,3)&lt;&gt;"IKS"),IFERROR(VLOOKUP($G127,Tb_KostenTypen[],2,0),"tarief"),RIGHT(F127,3)="IKS","Uurtarief",LEFT(F127,6)="Arbeid","Uurtarief",AND(LEFT(F127,8)="Bijdrage",RIGHT(F127,15)="(vrijwilligers)"),"Vast tarief"),"")</f>
        <v/>
      </c>
      <c r="O127" s="90"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0"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1"/>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59"/>
      <c r="Z127" s="49"/>
      <c r="AA127" s="37" t="str" cm="1">
        <f t="array" ref="AA127">IFERROR(IF(INDEX(SubsidieTabel!$Q$1:$T$9,MATCH($F127,SubsidieTabel!$Q$1:$Q$9,0),IFERROR(MATCH(Methode_Keuze,SubsidieTabel!$Q$1:$T$1,0),2))&lt;&gt;1=TRUE,"ja",""),"")</f>
        <v/>
      </c>
    </row>
    <row r="128" spans="1:27" ht="15" customHeight="1" x14ac:dyDescent="0.25">
      <c r="A128" s="85"/>
      <c r="B128" s="217" t="str">
        <f>IF(A128&lt;&gt;"",_xlfn.MAXIFS($B$1:B127,$A$1:A127,A128)+1,"")</f>
        <v/>
      </c>
      <c r="C128" s="50"/>
      <c r="D128" s="50"/>
      <c r="E128" s="50"/>
      <c r="F128" s="50"/>
      <c r="G128" s="280"/>
      <c r="H128" s="293"/>
      <c r="I128" s="292"/>
      <c r="J128" s="292"/>
      <c r="K128" s="200"/>
      <c r="L128" s="200"/>
      <c r="M128" s="89" t="str">
        <f>IFERROR(VLOOKUP(H128,Lijsten!$H$1:$I$100,2,0),"")</f>
        <v/>
      </c>
      <c r="N128" s="89" t="str" cm="1">
        <f t="array" ref="N128">IFERROR(_xlfn.IFS(AND(LEFT(F128,6)="Arbeid",RIGHT(F128,3)&lt;&gt;"IKS"),IFERROR(VLOOKUP($G128,Tb_KostenTypen[],2,0),"tarief"),RIGHT(F128,3)="IKS","Uurtarief",LEFT(F128,6)="Arbeid","Uurtarief",AND(LEFT(F128,8)="Bijdrage",RIGHT(F128,15)="(vrijwilligers)"),"Vast tarief"),"")</f>
        <v/>
      </c>
      <c r="O128" s="90"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0"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1"/>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59"/>
      <c r="Z128" s="49"/>
      <c r="AA128" s="37" t="str" cm="1">
        <f t="array" ref="AA128">IFERROR(IF(INDEX(SubsidieTabel!$Q$1:$T$9,MATCH($F128,SubsidieTabel!$Q$1:$Q$9,0),IFERROR(MATCH(Methode_Keuze,SubsidieTabel!$Q$1:$T$1,0),2))&lt;&gt;1=TRUE,"ja",""),"")</f>
        <v/>
      </c>
    </row>
    <row r="129" spans="1:27" ht="15" customHeight="1" x14ac:dyDescent="0.25">
      <c r="A129" s="85"/>
      <c r="B129" s="217" t="str">
        <f>IF(A129&lt;&gt;"",_xlfn.MAXIFS($B$1:B128,$A$1:A128,A129)+1,"")</f>
        <v/>
      </c>
      <c r="C129" s="50"/>
      <c r="D129" s="50"/>
      <c r="E129" s="50"/>
      <c r="F129" s="50"/>
      <c r="G129" s="280"/>
      <c r="H129" s="293"/>
      <c r="I129" s="292"/>
      <c r="J129" s="292"/>
      <c r="K129" s="200"/>
      <c r="L129" s="200"/>
      <c r="M129" s="89" t="str">
        <f>IFERROR(VLOOKUP(H129,Lijsten!$H$1:$I$100,2,0),"")</f>
        <v/>
      </c>
      <c r="N129" s="89" t="str" cm="1">
        <f t="array" ref="N129">IFERROR(_xlfn.IFS(AND(LEFT(F129,6)="Arbeid",RIGHT(F129,3)&lt;&gt;"IKS"),IFERROR(VLOOKUP($G129,Tb_KostenTypen[],2,0),"tarief"),RIGHT(F129,3)="IKS","Uurtarief",LEFT(F129,6)="Arbeid","Uurtarief",AND(LEFT(F129,8)="Bijdrage",RIGHT(F129,15)="(vrijwilligers)"),"Vast tarief"),"")</f>
        <v/>
      </c>
      <c r="O129" s="90"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0"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1"/>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59"/>
      <c r="Z129" s="49"/>
      <c r="AA129" s="37" t="str" cm="1">
        <f t="array" ref="AA129">IFERROR(IF(INDEX(SubsidieTabel!$Q$1:$T$9,MATCH($F129,SubsidieTabel!$Q$1:$Q$9,0),IFERROR(MATCH(Methode_Keuze,SubsidieTabel!$Q$1:$T$1,0),2))&lt;&gt;1=TRUE,"ja",""),"")</f>
        <v/>
      </c>
    </row>
    <row r="130" spans="1:27" ht="15" customHeight="1" x14ac:dyDescent="0.25">
      <c r="A130" s="85"/>
      <c r="B130" s="217" t="str">
        <f>IF(A130&lt;&gt;"",_xlfn.MAXIFS($B$1:B129,$A$1:A129,A130)+1,"")</f>
        <v/>
      </c>
      <c r="C130" s="50"/>
      <c r="D130" s="50"/>
      <c r="E130" s="50"/>
      <c r="F130" s="50"/>
      <c r="G130" s="280"/>
      <c r="H130" s="293"/>
      <c r="I130" s="292"/>
      <c r="J130" s="292"/>
      <c r="K130" s="200"/>
      <c r="L130" s="200"/>
      <c r="M130" s="89" t="str">
        <f>IFERROR(VLOOKUP(H130,Lijsten!$H$1:$I$100,2,0),"")</f>
        <v/>
      </c>
      <c r="N130" s="89" t="str" cm="1">
        <f t="array" ref="N130">IFERROR(_xlfn.IFS(AND(LEFT(F130,6)="Arbeid",RIGHT(F130,3)&lt;&gt;"IKS"),IFERROR(VLOOKUP($G130,Tb_KostenTypen[],2,0),"tarief"),RIGHT(F130,3)="IKS","Uurtarief",LEFT(F130,6)="Arbeid","Uurtarief",AND(LEFT(F130,8)="Bijdrage",RIGHT(F130,15)="(vrijwilligers)"),"Vast tarief"),"")</f>
        <v/>
      </c>
      <c r="O130" s="90"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0"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1"/>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59"/>
      <c r="Z130" s="49"/>
      <c r="AA130" s="37" t="str" cm="1">
        <f t="array" ref="AA130">IFERROR(IF(INDEX(SubsidieTabel!$Q$1:$T$9,MATCH($F130,SubsidieTabel!$Q$1:$Q$9,0),IFERROR(MATCH(Methode_Keuze,SubsidieTabel!$Q$1:$T$1,0),2))&lt;&gt;1=TRUE,"ja",""),"")</f>
        <v/>
      </c>
    </row>
    <row r="131" spans="1:27" ht="15" customHeight="1" x14ac:dyDescent="0.25">
      <c r="A131" s="85"/>
      <c r="B131" s="217" t="str">
        <f>IF(A131&lt;&gt;"",_xlfn.MAXIFS($B$1:B130,$A$1:A130,A131)+1,"")</f>
        <v/>
      </c>
      <c r="C131" s="50"/>
      <c r="D131" s="50"/>
      <c r="E131" s="50"/>
      <c r="F131" s="50"/>
      <c r="G131" s="280"/>
      <c r="H131" s="293"/>
      <c r="I131" s="292"/>
      <c r="J131" s="292"/>
      <c r="K131" s="200"/>
      <c r="L131" s="200"/>
      <c r="M131" s="89" t="str">
        <f>IFERROR(VLOOKUP(H131,Lijsten!$H$1:$I$100,2,0),"")</f>
        <v/>
      </c>
      <c r="N131" s="89" t="str" cm="1">
        <f t="array" ref="N131">IFERROR(_xlfn.IFS(AND(LEFT(F131,6)="Arbeid",RIGHT(F131,3)&lt;&gt;"IKS"),IFERROR(VLOOKUP($G131,Tb_KostenTypen[],2,0),"tarief"),RIGHT(F131,3)="IKS","Uurtarief",LEFT(F131,6)="Arbeid","Uurtarief",AND(LEFT(F131,8)="Bijdrage",RIGHT(F131,15)="(vrijwilligers)"),"Vast tarief"),"")</f>
        <v/>
      </c>
      <c r="O131" s="90"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0"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1"/>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59"/>
      <c r="Z131" s="49"/>
      <c r="AA131" s="37" t="str" cm="1">
        <f t="array" ref="AA131">IFERROR(IF(INDEX(SubsidieTabel!$Q$1:$T$9,MATCH($F131,SubsidieTabel!$Q$1:$Q$9,0),IFERROR(MATCH(Methode_Keuze,SubsidieTabel!$Q$1:$T$1,0),2))&lt;&gt;1=TRUE,"ja",""),"")</f>
        <v/>
      </c>
    </row>
    <row r="132" spans="1:27" ht="15" customHeight="1" x14ac:dyDescent="0.25">
      <c r="A132" s="85"/>
      <c r="B132" s="217" t="str">
        <f>IF(A132&lt;&gt;"",_xlfn.MAXIFS($B$1:B131,$A$1:A131,A132)+1,"")</f>
        <v/>
      </c>
      <c r="C132" s="50"/>
      <c r="D132" s="50"/>
      <c r="E132" s="50"/>
      <c r="F132" s="50"/>
      <c r="G132" s="280"/>
      <c r="H132" s="293"/>
      <c r="I132" s="292"/>
      <c r="J132" s="292"/>
      <c r="K132" s="200"/>
      <c r="L132" s="200"/>
      <c r="M132" s="89" t="str">
        <f>IFERROR(VLOOKUP(H132,Lijsten!$H$1:$I$100,2,0),"")</f>
        <v/>
      </c>
      <c r="N132" s="89" t="str" cm="1">
        <f t="array" ref="N132">IFERROR(_xlfn.IFS(AND(LEFT(F132,6)="Arbeid",RIGHT(F132,3)&lt;&gt;"IKS"),IFERROR(VLOOKUP($G132,Tb_KostenTypen[],2,0),"tarief"),RIGHT(F132,3)="IKS","Uurtarief",LEFT(F132,6)="Arbeid","Uurtarief",AND(LEFT(F132,8)="Bijdrage",RIGHT(F132,15)="(vrijwilligers)"),"Vast tarief"),"")</f>
        <v/>
      </c>
      <c r="O132" s="90"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0"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1"/>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59"/>
      <c r="Z132" s="49"/>
      <c r="AA132" s="37" t="str" cm="1">
        <f t="array" ref="AA132">IFERROR(IF(INDEX(SubsidieTabel!$Q$1:$T$9,MATCH($F132,SubsidieTabel!$Q$1:$Q$9,0),IFERROR(MATCH(Methode_Keuze,SubsidieTabel!$Q$1:$T$1,0),2))&lt;&gt;1=TRUE,"ja",""),"")</f>
        <v/>
      </c>
    </row>
    <row r="133" spans="1:27" ht="15" customHeight="1" x14ac:dyDescent="0.25">
      <c r="A133" s="85"/>
      <c r="B133" s="217" t="str">
        <f>IF(A133&lt;&gt;"",_xlfn.MAXIFS($B$1:B132,$A$1:A132,A133)+1,"")</f>
        <v/>
      </c>
      <c r="C133" s="50"/>
      <c r="D133" s="50"/>
      <c r="E133" s="50"/>
      <c r="F133" s="50"/>
      <c r="G133" s="280"/>
      <c r="H133" s="293"/>
      <c r="I133" s="292"/>
      <c r="J133" s="292"/>
      <c r="K133" s="200"/>
      <c r="L133" s="200"/>
      <c r="M133" s="89" t="str">
        <f>IFERROR(VLOOKUP(H133,Lijsten!$H$1:$I$100,2,0),"")</f>
        <v/>
      </c>
      <c r="N133" s="89" t="str" cm="1">
        <f t="array" ref="N133">IFERROR(_xlfn.IFS(AND(LEFT(F133,6)="Arbeid",RIGHT(F133,3)&lt;&gt;"IKS"),IFERROR(VLOOKUP($G133,Tb_KostenTypen[],2,0),"tarief"),RIGHT(F133,3)="IKS","Uurtarief",LEFT(F133,6)="Arbeid","Uurtarief",AND(LEFT(F133,8)="Bijdrage",RIGHT(F133,15)="(vrijwilligers)"),"Vast tarief"),"")</f>
        <v/>
      </c>
      <c r="O133" s="90"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0"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1"/>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59"/>
      <c r="Z133" s="49"/>
      <c r="AA133" s="37" t="str" cm="1">
        <f t="array" ref="AA133">IFERROR(IF(INDEX(SubsidieTabel!$Q$1:$T$9,MATCH($F133,SubsidieTabel!$Q$1:$Q$9,0),IFERROR(MATCH(Methode_Keuze,SubsidieTabel!$Q$1:$T$1,0),2))&lt;&gt;1=TRUE,"ja",""),"")</f>
        <v/>
      </c>
    </row>
    <row r="134" spans="1:27" ht="15" customHeight="1" x14ac:dyDescent="0.25">
      <c r="A134" s="85"/>
      <c r="B134" s="217" t="str">
        <f>IF(A134&lt;&gt;"",_xlfn.MAXIFS($B$1:B133,$A$1:A133,A134)+1,"")</f>
        <v/>
      </c>
      <c r="C134" s="50"/>
      <c r="D134" s="50"/>
      <c r="E134" s="50"/>
      <c r="F134" s="50"/>
      <c r="G134" s="280"/>
      <c r="H134" s="293"/>
      <c r="I134" s="292"/>
      <c r="J134" s="292"/>
      <c r="K134" s="200"/>
      <c r="L134" s="200"/>
      <c r="M134" s="89" t="str">
        <f>IFERROR(VLOOKUP(H134,Lijsten!$H$1:$I$100,2,0),"")</f>
        <v/>
      </c>
      <c r="N134" s="89" t="str" cm="1">
        <f t="array" ref="N134">IFERROR(_xlfn.IFS(AND(LEFT(F134,6)="Arbeid",RIGHT(F134,3)&lt;&gt;"IKS"),IFERROR(VLOOKUP($G134,Tb_KostenTypen[],2,0),"tarief"),RIGHT(F134,3)="IKS","Uurtarief",LEFT(F134,6)="Arbeid","Uurtarief",AND(LEFT(F134,8)="Bijdrage",RIGHT(F134,15)="(vrijwilligers)"),"Vast tarief"),"")</f>
        <v/>
      </c>
      <c r="O134" s="90"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0"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1"/>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59"/>
      <c r="Z134" s="49"/>
      <c r="AA134" s="37" t="str" cm="1">
        <f t="array" ref="AA134">IFERROR(IF(INDEX(SubsidieTabel!$Q$1:$T$9,MATCH($F134,SubsidieTabel!$Q$1:$Q$9,0),IFERROR(MATCH(Methode_Keuze,SubsidieTabel!$Q$1:$T$1,0),2))&lt;&gt;1=TRUE,"ja",""),"")</f>
        <v/>
      </c>
    </row>
    <row r="135" spans="1:27" ht="15" customHeight="1" x14ac:dyDescent="0.25">
      <c r="A135" s="85"/>
      <c r="B135" s="217" t="str">
        <f>IF(A135&lt;&gt;"",_xlfn.MAXIFS($B$1:B134,$A$1:A134,A135)+1,"")</f>
        <v/>
      </c>
      <c r="C135" s="50"/>
      <c r="D135" s="50"/>
      <c r="E135" s="50"/>
      <c r="F135" s="50"/>
      <c r="G135" s="280"/>
      <c r="H135" s="293"/>
      <c r="I135" s="292"/>
      <c r="J135" s="292"/>
      <c r="K135" s="200"/>
      <c r="L135" s="200"/>
      <c r="M135" s="89" t="str">
        <f>IFERROR(VLOOKUP(H135,Lijsten!$H$1:$I$100,2,0),"")</f>
        <v/>
      </c>
      <c r="N135" s="89" t="str" cm="1">
        <f t="array" ref="N135">IFERROR(_xlfn.IFS(AND(LEFT(F135,6)="Arbeid",RIGHT(F135,3)&lt;&gt;"IKS"),IFERROR(VLOOKUP($G135,Tb_KostenTypen[],2,0),"tarief"),RIGHT(F135,3)="IKS","Uurtarief",LEFT(F135,6)="Arbeid","Uurtarief",AND(LEFT(F135,8)="Bijdrage",RIGHT(F135,15)="(vrijwilligers)"),"Vast tarief"),"")</f>
        <v/>
      </c>
      <c r="O135" s="90"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0"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1"/>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59"/>
      <c r="Z135" s="49"/>
      <c r="AA135" s="37" t="str" cm="1">
        <f t="array" ref="AA135">IFERROR(IF(INDEX(SubsidieTabel!$Q$1:$T$9,MATCH($F135,SubsidieTabel!$Q$1:$Q$9,0),IFERROR(MATCH(Methode_Keuze,SubsidieTabel!$Q$1:$T$1,0),2))&lt;&gt;1=TRUE,"ja",""),"")</f>
        <v/>
      </c>
    </row>
    <row r="136" spans="1:27" ht="15" customHeight="1" x14ac:dyDescent="0.25">
      <c r="A136" s="85"/>
      <c r="B136" s="217" t="str">
        <f>IF(A136&lt;&gt;"",_xlfn.MAXIFS($B$1:B135,$A$1:A135,A136)+1,"")</f>
        <v/>
      </c>
      <c r="C136" s="50"/>
      <c r="D136" s="50"/>
      <c r="E136" s="50"/>
      <c r="F136" s="50"/>
      <c r="G136" s="280"/>
      <c r="H136" s="293"/>
      <c r="I136" s="292"/>
      <c r="J136" s="292"/>
      <c r="K136" s="200"/>
      <c r="L136" s="200"/>
      <c r="M136" s="89" t="str">
        <f>IFERROR(VLOOKUP(H136,Lijsten!$H$1:$I$100,2,0),"")</f>
        <v/>
      </c>
      <c r="N136" s="89" t="str" cm="1">
        <f t="array" ref="N136">IFERROR(_xlfn.IFS(AND(LEFT(F136,6)="Arbeid",RIGHT(F136,3)&lt;&gt;"IKS"),IFERROR(VLOOKUP($G136,Tb_KostenTypen[],2,0),"tarief"),RIGHT(F136,3)="IKS","Uurtarief",LEFT(F136,6)="Arbeid","Uurtarief",AND(LEFT(F136,8)="Bijdrage",RIGHT(F136,15)="(vrijwilligers)"),"Vast tarief"),"")</f>
        <v/>
      </c>
      <c r="O136" s="90"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0"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1"/>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59"/>
      <c r="Z136" s="49"/>
      <c r="AA136" s="37" t="str" cm="1">
        <f t="array" ref="AA136">IFERROR(IF(INDEX(SubsidieTabel!$Q$1:$T$9,MATCH($F136,SubsidieTabel!$Q$1:$Q$9,0),IFERROR(MATCH(Methode_Keuze,SubsidieTabel!$Q$1:$T$1,0),2))&lt;&gt;1=TRUE,"ja",""),"")</f>
        <v/>
      </c>
    </row>
    <row r="137" spans="1:27" ht="15" customHeight="1" x14ac:dyDescent="0.25">
      <c r="A137" s="85"/>
      <c r="B137" s="217" t="str">
        <f>IF(A137&lt;&gt;"",_xlfn.MAXIFS($B$1:B136,$A$1:A136,A137)+1,"")</f>
        <v/>
      </c>
      <c r="C137" s="50"/>
      <c r="D137" s="50"/>
      <c r="E137" s="50"/>
      <c r="F137" s="50"/>
      <c r="G137" s="280"/>
      <c r="H137" s="293"/>
      <c r="I137" s="292"/>
      <c r="J137" s="292"/>
      <c r="K137" s="200"/>
      <c r="L137" s="200"/>
      <c r="M137" s="89" t="str">
        <f>IFERROR(VLOOKUP(H137,Lijsten!$H$1:$I$100,2,0),"")</f>
        <v/>
      </c>
      <c r="N137" s="89" t="str" cm="1">
        <f t="array" ref="N137">IFERROR(_xlfn.IFS(AND(LEFT(F137,6)="Arbeid",RIGHT(F137,3)&lt;&gt;"IKS"),IFERROR(VLOOKUP($G137,Tb_KostenTypen[],2,0),"tarief"),RIGHT(F137,3)="IKS","Uurtarief",LEFT(F137,6)="Arbeid","Uurtarief",AND(LEFT(F137,8)="Bijdrage",RIGHT(F137,15)="(vrijwilligers)"),"Vast tarief"),"")</f>
        <v/>
      </c>
      <c r="O137" s="90"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0"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1"/>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59"/>
      <c r="Z137" s="49"/>
      <c r="AA137" s="37" t="str" cm="1">
        <f t="array" ref="AA137">IFERROR(IF(INDEX(SubsidieTabel!$Q$1:$T$9,MATCH($F137,SubsidieTabel!$Q$1:$Q$9,0),IFERROR(MATCH(Methode_Keuze,SubsidieTabel!$Q$1:$T$1,0),2))&lt;&gt;1=TRUE,"ja",""),"")</f>
        <v/>
      </c>
    </row>
    <row r="138" spans="1:27" ht="15" customHeight="1" x14ac:dyDescent="0.25">
      <c r="A138" s="85"/>
      <c r="B138" s="217" t="str">
        <f>IF(A138&lt;&gt;"",_xlfn.MAXIFS($B$1:B137,$A$1:A137,A138)+1,"")</f>
        <v/>
      </c>
      <c r="C138" s="50"/>
      <c r="D138" s="50"/>
      <c r="E138" s="50"/>
      <c r="F138" s="50"/>
      <c r="G138" s="280"/>
      <c r="H138" s="293"/>
      <c r="I138" s="292"/>
      <c r="J138" s="292"/>
      <c r="K138" s="200"/>
      <c r="L138" s="200"/>
      <c r="M138" s="89" t="str">
        <f>IFERROR(VLOOKUP(H138,Lijsten!$H$1:$I$100,2,0),"")</f>
        <v/>
      </c>
      <c r="N138" s="89" t="str" cm="1">
        <f t="array" ref="N138">IFERROR(_xlfn.IFS(AND(LEFT(F138,6)="Arbeid",RIGHT(F138,3)&lt;&gt;"IKS"),IFERROR(VLOOKUP($G138,Tb_KostenTypen[],2,0),"tarief"),RIGHT(F138,3)="IKS","Uurtarief",LEFT(F138,6)="Arbeid","Uurtarief",AND(LEFT(F138,8)="Bijdrage",RIGHT(F138,15)="(vrijwilligers)"),"Vast tarief"),"")</f>
        <v/>
      </c>
      <c r="O138" s="90"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0"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1"/>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59"/>
      <c r="Z138" s="49"/>
      <c r="AA138" s="37" t="str" cm="1">
        <f t="array" ref="AA138">IFERROR(IF(INDEX(SubsidieTabel!$Q$1:$T$9,MATCH($F138,SubsidieTabel!$Q$1:$Q$9,0),IFERROR(MATCH(Methode_Keuze,SubsidieTabel!$Q$1:$T$1,0),2))&lt;&gt;1=TRUE,"ja",""),"")</f>
        <v/>
      </c>
    </row>
    <row r="139" spans="1:27" ht="15" customHeight="1" x14ac:dyDescent="0.25">
      <c r="A139" s="85"/>
      <c r="B139" s="217" t="str">
        <f>IF(A139&lt;&gt;"",_xlfn.MAXIFS($B$1:B138,$A$1:A138,A139)+1,"")</f>
        <v/>
      </c>
      <c r="C139" s="50"/>
      <c r="D139" s="50"/>
      <c r="E139" s="50"/>
      <c r="F139" s="50"/>
      <c r="G139" s="280"/>
      <c r="H139" s="293"/>
      <c r="I139" s="292"/>
      <c r="J139" s="292"/>
      <c r="K139" s="200"/>
      <c r="L139" s="200"/>
      <c r="M139" s="89" t="str">
        <f>IFERROR(VLOOKUP(H139,Lijsten!$H$1:$I$100,2,0),"")</f>
        <v/>
      </c>
      <c r="N139" s="89" t="str" cm="1">
        <f t="array" ref="N139">IFERROR(_xlfn.IFS(AND(LEFT(F139,6)="Arbeid",RIGHT(F139,3)&lt;&gt;"IKS"),IFERROR(VLOOKUP($G139,Tb_KostenTypen[],2,0),"tarief"),RIGHT(F139,3)="IKS","Uurtarief",LEFT(F139,6)="Arbeid","Uurtarief",AND(LEFT(F139,8)="Bijdrage",RIGHT(F139,15)="(vrijwilligers)"),"Vast tarief"),"")</f>
        <v/>
      </c>
      <c r="O139" s="90"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0"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1"/>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59"/>
      <c r="Z139" s="49"/>
      <c r="AA139" s="37" t="str" cm="1">
        <f t="array" ref="AA139">IFERROR(IF(INDEX(SubsidieTabel!$Q$1:$T$9,MATCH($F139,SubsidieTabel!$Q$1:$Q$9,0),IFERROR(MATCH(Methode_Keuze,SubsidieTabel!$Q$1:$T$1,0),2))&lt;&gt;1=TRUE,"ja",""),"")</f>
        <v/>
      </c>
    </row>
    <row r="140" spans="1:27" ht="15" customHeight="1" x14ac:dyDescent="0.25">
      <c r="A140" s="85"/>
      <c r="B140" s="217" t="str">
        <f>IF(A140&lt;&gt;"",_xlfn.MAXIFS($B$1:B139,$A$1:A139,A140)+1,"")</f>
        <v/>
      </c>
      <c r="C140" s="50"/>
      <c r="D140" s="50"/>
      <c r="E140" s="50"/>
      <c r="F140" s="50"/>
      <c r="G140" s="280"/>
      <c r="H140" s="293"/>
      <c r="I140" s="292"/>
      <c r="J140" s="292"/>
      <c r="K140" s="200"/>
      <c r="L140" s="200"/>
      <c r="M140" s="89" t="str">
        <f>IFERROR(VLOOKUP(H140,Lijsten!$H$1:$I$100,2,0),"")</f>
        <v/>
      </c>
      <c r="N140" s="89" t="str" cm="1">
        <f t="array" ref="N140">IFERROR(_xlfn.IFS(AND(LEFT(F140,6)="Arbeid",RIGHT(F140,3)&lt;&gt;"IKS"),IFERROR(VLOOKUP($G140,Tb_KostenTypen[],2,0),"tarief"),RIGHT(F140,3)="IKS","Uurtarief",LEFT(F140,6)="Arbeid","Uurtarief",AND(LEFT(F140,8)="Bijdrage",RIGHT(F140,15)="(vrijwilligers)"),"Vast tarief"),"")</f>
        <v/>
      </c>
      <c r="O140" s="90"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0"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1"/>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59"/>
      <c r="Z140" s="49"/>
      <c r="AA140" s="37" t="str" cm="1">
        <f t="array" ref="AA140">IFERROR(IF(INDEX(SubsidieTabel!$Q$1:$T$9,MATCH($F140,SubsidieTabel!$Q$1:$Q$9,0),IFERROR(MATCH(Methode_Keuze,SubsidieTabel!$Q$1:$T$1,0),2))&lt;&gt;1=TRUE,"ja",""),"")</f>
        <v/>
      </c>
    </row>
    <row r="141" spans="1:27" ht="15" customHeight="1" x14ac:dyDescent="0.25">
      <c r="A141" s="85"/>
      <c r="B141" s="217" t="str">
        <f>IF(A141&lt;&gt;"",_xlfn.MAXIFS($B$1:B140,$A$1:A140,A141)+1,"")</f>
        <v/>
      </c>
      <c r="C141" s="50"/>
      <c r="D141" s="50"/>
      <c r="E141" s="50"/>
      <c r="F141" s="50"/>
      <c r="G141" s="280"/>
      <c r="H141" s="293"/>
      <c r="I141" s="292"/>
      <c r="J141" s="292"/>
      <c r="K141" s="200"/>
      <c r="L141" s="200"/>
      <c r="M141" s="89" t="str">
        <f>IFERROR(VLOOKUP(H141,Lijsten!$H$1:$I$100,2,0),"")</f>
        <v/>
      </c>
      <c r="N141" s="89" t="str" cm="1">
        <f t="array" ref="N141">IFERROR(_xlfn.IFS(AND(LEFT(F141,6)="Arbeid",RIGHT(F141,3)&lt;&gt;"IKS"),IFERROR(VLOOKUP($G141,Tb_KostenTypen[],2,0),"tarief"),RIGHT(F141,3)="IKS","Uurtarief",LEFT(F141,6)="Arbeid","Uurtarief",AND(LEFT(F141,8)="Bijdrage",RIGHT(F141,15)="(vrijwilligers)"),"Vast tarief"),"")</f>
        <v/>
      </c>
      <c r="O141" s="90"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0"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1"/>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59"/>
      <c r="Z141" s="49"/>
      <c r="AA141" s="37" t="str" cm="1">
        <f t="array" ref="AA141">IFERROR(IF(INDEX(SubsidieTabel!$Q$1:$T$9,MATCH($F141,SubsidieTabel!$Q$1:$Q$9,0),IFERROR(MATCH(Methode_Keuze,SubsidieTabel!$Q$1:$T$1,0),2))&lt;&gt;1=TRUE,"ja",""),"")</f>
        <v/>
      </c>
    </row>
    <row r="142" spans="1:27" ht="15" customHeight="1" x14ac:dyDescent="0.25">
      <c r="A142" s="85"/>
      <c r="B142" s="217" t="str">
        <f>IF(A142&lt;&gt;"",_xlfn.MAXIFS($B$1:B141,$A$1:A141,A142)+1,"")</f>
        <v/>
      </c>
      <c r="C142" s="50"/>
      <c r="D142" s="50"/>
      <c r="E142" s="50"/>
      <c r="F142" s="50"/>
      <c r="G142" s="280"/>
      <c r="H142" s="293"/>
      <c r="I142" s="292"/>
      <c r="J142" s="292"/>
      <c r="K142" s="200"/>
      <c r="L142" s="200"/>
      <c r="M142" s="89" t="str">
        <f>IFERROR(VLOOKUP(H142,Lijsten!$H$1:$I$100,2,0),"")</f>
        <v/>
      </c>
      <c r="N142" s="89" t="str" cm="1">
        <f t="array" ref="N142">IFERROR(_xlfn.IFS(AND(LEFT(F142,6)="Arbeid",RIGHT(F142,3)&lt;&gt;"IKS"),IFERROR(VLOOKUP($G142,Tb_KostenTypen[],2,0),"tarief"),RIGHT(F142,3)="IKS","Uurtarief",LEFT(F142,6)="Arbeid","Uurtarief",AND(LEFT(F142,8)="Bijdrage",RIGHT(F142,15)="(vrijwilligers)"),"Vast tarief"),"")</f>
        <v/>
      </c>
      <c r="O142" s="90"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0"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1"/>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59"/>
      <c r="Z142" s="49"/>
      <c r="AA142" s="37" t="str" cm="1">
        <f t="array" ref="AA142">IFERROR(IF(INDEX(SubsidieTabel!$Q$1:$T$9,MATCH($F142,SubsidieTabel!$Q$1:$Q$9,0),IFERROR(MATCH(Methode_Keuze,SubsidieTabel!$Q$1:$T$1,0),2))&lt;&gt;1=TRUE,"ja",""),"")</f>
        <v/>
      </c>
    </row>
    <row r="143" spans="1:27" ht="15" customHeight="1" x14ac:dyDescent="0.25">
      <c r="A143" s="85"/>
      <c r="B143" s="217" t="str">
        <f>IF(A143&lt;&gt;"",_xlfn.MAXIFS($B$1:B142,$A$1:A142,A143)+1,"")</f>
        <v/>
      </c>
      <c r="C143" s="50"/>
      <c r="D143" s="50"/>
      <c r="E143" s="50"/>
      <c r="F143" s="50"/>
      <c r="G143" s="280"/>
      <c r="H143" s="293"/>
      <c r="I143" s="292"/>
      <c r="J143" s="292"/>
      <c r="K143" s="200"/>
      <c r="L143" s="200"/>
      <c r="M143" s="89" t="str">
        <f>IFERROR(VLOOKUP(H143,Lijsten!$H$1:$I$100,2,0),"")</f>
        <v/>
      </c>
      <c r="N143" s="89" t="str" cm="1">
        <f t="array" ref="N143">IFERROR(_xlfn.IFS(AND(LEFT(F143,6)="Arbeid",RIGHT(F143,3)&lt;&gt;"IKS"),IFERROR(VLOOKUP($G143,Tb_KostenTypen[],2,0),"tarief"),RIGHT(F143,3)="IKS","Uurtarief",LEFT(F143,6)="Arbeid","Uurtarief",AND(LEFT(F143,8)="Bijdrage",RIGHT(F143,15)="(vrijwilligers)"),"Vast tarief"),"")</f>
        <v/>
      </c>
      <c r="O143" s="90"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0"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1"/>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59"/>
      <c r="Z143" s="49"/>
      <c r="AA143" s="37" t="str" cm="1">
        <f t="array" ref="AA143">IFERROR(IF(INDEX(SubsidieTabel!$Q$1:$T$9,MATCH($F143,SubsidieTabel!$Q$1:$Q$9,0),IFERROR(MATCH(Methode_Keuze,SubsidieTabel!$Q$1:$T$1,0),2))&lt;&gt;1=TRUE,"ja",""),"")</f>
        <v/>
      </c>
    </row>
    <row r="144" spans="1:27" ht="15" customHeight="1" x14ac:dyDescent="0.25">
      <c r="A144" s="85"/>
      <c r="B144" s="217" t="str">
        <f>IF(A144&lt;&gt;"",_xlfn.MAXIFS($B$1:B143,$A$1:A143,A144)+1,"")</f>
        <v/>
      </c>
      <c r="C144" s="50"/>
      <c r="D144" s="50"/>
      <c r="E144" s="50"/>
      <c r="F144" s="50"/>
      <c r="G144" s="280"/>
      <c r="H144" s="293"/>
      <c r="I144" s="292"/>
      <c r="J144" s="292"/>
      <c r="K144" s="200"/>
      <c r="L144" s="200"/>
      <c r="M144" s="89" t="str">
        <f>IFERROR(VLOOKUP(H144,Lijsten!$H$1:$I$100,2,0),"")</f>
        <v/>
      </c>
      <c r="N144" s="89" t="str" cm="1">
        <f t="array" ref="N144">IFERROR(_xlfn.IFS(AND(LEFT(F144,6)="Arbeid",RIGHT(F144,3)&lt;&gt;"IKS"),IFERROR(VLOOKUP($G144,Tb_KostenTypen[],2,0),"tarief"),RIGHT(F144,3)="IKS","Uurtarief",LEFT(F144,6)="Arbeid","Uurtarief",AND(LEFT(F144,8)="Bijdrage",RIGHT(F144,15)="(vrijwilligers)"),"Vast tarief"),"")</f>
        <v/>
      </c>
      <c r="O144" s="90"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0"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1"/>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59"/>
      <c r="Z144" s="49"/>
      <c r="AA144" s="37" t="str" cm="1">
        <f t="array" ref="AA144">IFERROR(IF(INDEX(SubsidieTabel!$Q$1:$T$9,MATCH($F144,SubsidieTabel!$Q$1:$Q$9,0),IFERROR(MATCH(Methode_Keuze,SubsidieTabel!$Q$1:$T$1,0),2))&lt;&gt;1=TRUE,"ja",""),"")</f>
        <v/>
      </c>
    </row>
    <row r="145" spans="1:27" ht="15" customHeight="1" x14ac:dyDescent="0.25">
      <c r="A145" s="85"/>
      <c r="B145" s="217" t="str">
        <f>IF(A145&lt;&gt;"",_xlfn.MAXIFS($B$1:B144,$A$1:A144,A145)+1,"")</f>
        <v/>
      </c>
      <c r="C145" s="50"/>
      <c r="D145" s="50"/>
      <c r="E145" s="50"/>
      <c r="F145" s="50"/>
      <c r="G145" s="280"/>
      <c r="H145" s="293"/>
      <c r="I145" s="292"/>
      <c r="J145" s="292"/>
      <c r="K145" s="200"/>
      <c r="L145" s="200"/>
      <c r="M145" s="89" t="str">
        <f>IFERROR(VLOOKUP(H145,Lijsten!$H$1:$I$100,2,0),"")</f>
        <v/>
      </c>
      <c r="N145" s="89" t="str" cm="1">
        <f t="array" ref="N145">IFERROR(_xlfn.IFS(AND(LEFT(F145,6)="Arbeid",RIGHT(F145,3)&lt;&gt;"IKS"),IFERROR(VLOOKUP($G145,Tb_KostenTypen[],2,0),"tarief"),RIGHT(F145,3)="IKS","Uurtarief",LEFT(F145,6)="Arbeid","Uurtarief",AND(LEFT(F145,8)="Bijdrage",RIGHT(F145,15)="(vrijwilligers)"),"Vast tarief"),"")</f>
        <v/>
      </c>
      <c r="O145" s="90"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0"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1"/>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59"/>
      <c r="Z145" s="49"/>
      <c r="AA145" s="37" t="str" cm="1">
        <f t="array" ref="AA145">IFERROR(IF(INDEX(SubsidieTabel!$Q$1:$T$9,MATCH($F145,SubsidieTabel!$Q$1:$Q$9,0),IFERROR(MATCH(Methode_Keuze,SubsidieTabel!$Q$1:$T$1,0),2))&lt;&gt;1=TRUE,"ja",""),"")</f>
        <v/>
      </c>
    </row>
    <row r="146" spans="1:27" ht="15" customHeight="1" x14ac:dyDescent="0.25">
      <c r="A146" s="85"/>
      <c r="B146" s="217" t="str">
        <f>IF(A146&lt;&gt;"",_xlfn.MAXIFS($B$1:B145,$A$1:A145,A146)+1,"")</f>
        <v/>
      </c>
      <c r="C146" s="50"/>
      <c r="D146" s="50"/>
      <c r="E146" s="50"/>
      <c r="F146" s="50"/>
      <c r="G146" s="280"/>
      <c r="H146" s="293"/>
      <c r="I146" s="292"/>
      <c r="J146" s="292"/>
      <c r="K146" s="200"/>
      <c r="L146" s="200"/>
      <c r="M146" s="89" t="str">
        <f>IFERROR(VLOOKUP(H146,Lijsten!$H$1:$I$100,2,0),"")</f>
        <v/>
      </c>
      <c r="N146" s="89" t="str" cm="1">
        <f t="array" ref="N146">IFERROR(_xlfn.IFS(AND(LEFT(F146,6)="Arbeid",RIGHT(F146,3)&lt;&gt;"IKS"),IFERROR(VLOOKUP($G146,Tb_KostenTypen[],2,0),"tarief"),RIGHT(F146,3)="IKS","Uurtarief",LEFT(F146,6)="Arbeid","Uurtarief",AND(LEFT(F146,8)="Bijdrage",RIGHT(F146,15)="(vrijwilligers)"),"Vast tarief"),"")</f>
        <v/>
      </c>
      <c r="O146" s="90"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0"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1"/>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59"/>
      <c r="Z146" s="49"/>
      <c r="AA146" s="37" t="str" cm="1">
        <f t="array" ref="AA146">IFERROR(IF(INDEX(SubsidieTabel!$Q$1:$T$9,MATCH($F146,SubsidieTabel!$Q$1:$Q$9,0),IFERROR(MATCH(Methode_Keuze,SubsidieTabel!$Q$1:$T$1,0),2))&lt;&gt;1=TRUE,"ja",""),"")</f>
        <v/>
      </c>
    </row>
    <row r="147" spans="1:27" ht="15" customHeight="1" x14ac:dyDescent="0.25">
      <c r="A147" s="85"/>
      <c r="B147" s="217" t="str">
        <f>IF(A147&lt;&gt;"",_xlfn.MAXIFS($B$1:B146,$A$1:A146,A147)+1,"")</f>
        <v/>
      </c>
      <c r="C147" s="50"/>
      <c r="D147" s="50"/>
      <c r="E147" s="50"/>
      <c r="F147" s="50"/>
      <c r="G147" s="280"/>
      <c r="H147" s="293"/>
      <c r="I147" s="292"/>
      <c r="J147" s="292"/>
      <c r="K147" s="200"/>
      <c r="L147" s="200"/>
      <c r="M147" s="89" t="str">
        <f>IFERROR(VLOOKUP(H147,Lijsten!$H$1:$I$100,2,0),"")</f>
        <v/>
      </c>
      <c r="N147" s="89" t="str" cm="1">
        <f t="array" ref="N147">IFERROR(_xlfn.IFS(AND(LEFT(F147,6)="Arbeid",RIGHT(F147,3)&lt;&gt;"IKS"),IFERROR(VLOOKUP($G147,Tb_KostenTypen[],2,0),"tarief"),RIGHT(F147,3)="IKS","Uurtarief",LEFT(F147,6)="Arbeid","Uurtarief",AND(LEFT(F147,8)="Bijdrage",RIGHT(F147,15)="(vrijwilligers)"),"Vast tarief"),"")</f>
        <v/>
      </c>
      <c r="O147" s="90"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0"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1"/>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59"/>
      <c r="Z147" s="49"/>
      <c r="AA147" s="37" t="str" cm="1">
        <f t="array" ref="AA147">IFERROR(IF(INDEX(SubsidieTabel!$Q$1:$T$9,MATCH($F147,SubsidieTabel!$Q$1:$Q$9,0),IFERROR(MATCH(Methode_Keuze,SubsidieTabel!$Q$1:$T$1,0),2))&lt;&gt;1=TRUE,"ja",""),"")</f>
        <v/>
      </c>
    </row>
    <row r="148" spans="1:27" ht="15" customHeight="1" x14ac:dyDescent="0.25">
      <c r="A148" s="85"/>
      <c r="B148" s="217" t="str">
        <f>IF(A148&lt;&gt;"",_xlfn.MAXIFS($B$1:B147,$A$1:A147,A148)+1,"")</f>
        <v/>
      </c>
      <c r="C148" s="50"/>
      <c r="D148" s="50"/>
      <c r="E148" s="50"/>
      <c r="F148" s="50"/>
      <c r="G148" s="280"/>
      <c r="H148" s="293"/>
      <c r="I148" s="292"/>
      <c r="J148" s="292"/>
      <c r="K148" s="200"/>
      <c r="L148" s="200"/>
      <c r="M148" s="89" t="str">
        <f>IFERROR(VLOOKUP(H148,Lijsten!$H$1:$I$100,2,0),"")</f>
        <v/>
      </c>
      <c r="N148" s="89" t="str" cm="1">
        <f t="array" ref="N148">IFERROR(_xlfn.IFS(AND(LEFT(F148,6)="Arbeid",RIGHT(F148,3)&lt;&gt;"IKS"),IFERROR(VLOOKUP($G148,Tb_KostenTypen[],2,0),"tarief"),RIGHT(F148,3)="IKS","Uurtarief",LEFT(F148,6)="Arbeid","Uurtarief",AND(LEFT(F148,8)="Bijdrage",RIGHT(F148,15)="(vrijwilligers)"),"Vast tarief"),"")</f>
        <v/>
      </c>
      <c r="O148" s="90"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0"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1"/>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59"/>
      <c r="Z148" s="49"/>
      <c r="AA148" s="37" t="str" cm="1">
        <f t="array" ref="AA148">IFERROR(IF(INDEX(SubsidieTabel!$Q$1:$T$9,MATCH($F148,SubsidieTabel!$Q$1:$Q$9,0),IFERROR(MATCH(Methode_Keuze,SubsidieTabel!$Q$1:$T$1,0),2))&lt;&gt;1=TRUE,"ja",""),"")</f>
        <v/>
      </c>
    </row>
    <row r="149" spans="1:27" ht="15" customHeight="1" x14ac:dyDescent="0.25">
      <c r="A149" s="85"/>
      <c r="B149" s="217" t="str">
        <f>IF(A149&lt;&gt;"",_xlfn.MAXIFS($B$1:B148,$A$1:A148,A149)+1,"")</f>
        <v/>
      </c>
      <c r="C149" s="50"/>
      <c r="D149" s="50"/>
      <c r="E149" s="50"/>
      <c r="F149" s="50"/>
      <c r="G149" s="280"/>
      <c r="H149" s="293"/>
      <c r="I149" s="292"/>
      <c r="J149" s="292"/>
      <c r="K149" s="200"/>
      <c r="L149" s="200"/>
      <c r="M149" s="89" t="str">
        <f>IFERROR(VLOOKUP(H149,Lijsten!$H$1:$I$100,2,0),"")</f>
        <v/>
      </c>
      <c r="N149" s="89" t="str" cm="1">
        <f t="array" ref="N149">IFERROR(_xlfn.IFS(AND(LEFT(F149,6)="Arbeid",RIGHT(F149,3)&lt;&gt;"IKS"),IFERROR(VLOOKUP($G149,Tb_KostenTypen[],2,0),"tarief"),RIGHT(F149,3)="IKS","Uurtarief",LEFT(F149,6)="Arbeid","Uurtarief",AND(LEFT(F149,8)="Bijdrage",RIGHT(F149,15)="(vrijwilligers)"),"Vast tarief"),"")</f>
        <v/>
      </c>
      <c r="O149" s="90"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0"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1"/>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59"/>
      <c r="Z149" s="49"/>
      <c r="AA149" s="37" t="str" cm="1">
        <f t="array" ref="AA149">IFERROR(IF(INDEX(SubsidieTabel!$Q$1:$T$9,MATCH($F149,SubsidieTabel!$Q$1:$Q$9,0),IFERROR(MATCH(Methode_Keuze,SubsidieTabel!$Q$1:$T$1,0),2))&lt;&gt;1=TRUE,"ja",""),"")</f>
        <v/>
      </c>
    </row>
    <row r="150" spans="1:27" ht="15" customHeight="1" x14ac:dyDescent="0.25">
      <c r="A150" s="85"/>
      <c r="B150" s="217" t="str">
        <f>IF(A150&lt;&gt;"",_xlfn.MAXIFS($B$1:B149,$A$1:A149,A150)+1,"")</f>
        <v/>
      </c>
      <c r="C150" s="50"/>
      <c r="D150" s="50"/>
      <c r="E150" s="50"/>
      <c r="F150" s="50"/>
      <c r="G150" s="280"/>
      <c r="H150" s="293"/>
      <c r="I150" s="292"/>
      <c r="J150" s="292"/>
      <c r="K150" s="200"/>
      <c r="L150" s="200"/>
      <c r="M150" s="89" t="str">
        <f>IFERROR(VLOOKUP(H150,Lijsten!$H$1:$I$100,2,0),"")</f>
        <v/>
      </c>
      <c r="N150" s="89" t="str" cm="1">
        <f t="array" ref="N150">IFERROR(_xlfn.IFS(AND(LEFT(F150,6)="Arbeid",RIGHT(F150,3)&lt;&gt;"IKS"),IFERROR(VLOOKUP($G150,Tb_KostenTypen[],2,0),"tarief"),RIGHT(F150,3)="IKS","Uurtarief",LEFT(F150,6)="Arbeid","Uurtarief",AND(LEFT(F150,8)="Bijdrage",RIGHT(F150,15)="(vrijwilligers)"),"Vast tarief"),"")</f>
        <v/>
      </c>
      <c r="O150" s="90"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0"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1"/>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59"/>
      <c r="Z150" s="49"/>
      <c r="AA150" s="37" t="str" cm="1">
        <f t="array" ref="AA150">IFERROR(IF(INDEX(SubsidieTabel!$Q$1:$T$9,MATCH($F150,SubsidieTabel!$Q$1:$Q$9,0),IFERROR(MATCH(Methode_Keuze,SubsidieTabel!$Q$1:$T$1,0),2))&lt;&gt;1=TRUE,"ja",""),"")</f>
        <v/>
      </c>
    </row>
    <row r="151" spans="1:27" ht="15" customHeight="1" x14ac:dyDescent="0.25">
      <c r="A151" s="85"/>
      <c r="B151" s="217" t="str">
        <f>IF(A151&lt;&gt;"",_xlfn.MAXIFS($B$1:B150,$A$1:A150,A151)+1,"")</f>
        <v/>
      </c>
      <c r="C151" s="50"/>
      <c r="D151" s="50"/>
      <c r="E151" s="50"/>
      <c r="F151" s="50"/>
      <c r="G151" s="280"/>
      <c r="H151" s="293"/>
      <c r="I151" s="292"/>
      <c r="J151" s="292"/>
      <c r="K151" s="200"/>
      <c r="L151" s="200"/>
      <c r="M151" s="89" t="str">
        <f>IFERROR(VLOOKUP(H151,Lijsten!$H$1:$I$100,2,0),"")</f>
        <v/>
      </c>
      <c r="N151" s="89" t="str" cm="1">
        <f t="array" ref="N151">IFERROR(_xlfn.IFS(AND(LEFT(F151,6)="Arbeid",RIGHT(F151,3)&lt;&gt;"IKS"),IFERROR(VLOOKUP($G151,Tb_KostenTypen[],2,0),"tarief"),RIGHT(F151,3)="IKS","Uurtarief",LEFT(F151,6)="Arbeid","Uurtarief",AND(LEFT(F151,8)="Bijdrage",RIGHT(F151,15)="(vrijwilligers)"),"Vast tarief"),"")</f>
        <v/>
      </c>
      <c r="O151" s="90"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0"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1"/>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59"/>
      <c r="Z151" s="49"/>
      <c r="AA151" s="37" t="str" cm="1">
        <f t="array" ref="AA151">IFERROR(IF(INDEX(SubsidieTabel!$Q$1:$T$9,MATCH($F151,SubsidieTabel!$Q$1:$Q$9,0),IFERROR(MATCH(Methode_Keuze,SubsidieTabel!$Q$1:$T$1,0),2))&lt;&gt;1=TRUE,"ja",""),"")</f>
        <v/>
      </c>
    </row>
    <row r="152" spans="1:27" ht="15" customHeight="1" x14ac:dyDescent="0.25">
      <c r="A152" s="85"/>
      <c r="B152" s="217" t="str">
        <f>IF(A152&lt;&gt;"",_xlfn.MAXIFS($B$1:B151,$A$1:A151,A152)+1,"")</f>
        <v/>
      </c>
      <c r="C152" s="50"/>
      <c r="D152" s="50"/>
      <c r="E152" s="50"/>
      <c r="F152" s="50"/>
      <c r="G152" s="280"/>
      <c r="H152" s="293"/>
      <c r="I152" s="292"/>
      <c r="J152" s="292"/>
      <c r="K152" s="200"/>
      <c r="L152" s="200"/>
      <c r="M152" s="89" t="str">
        <f>IFERROR(VLOOKUP(H152,Lijsten!$H$1:$I$100,2,0),"")</f>
        <v/>
      </c>
      <c r="N152" s="89" t="str" cm="1">
        <f t="array" ref="N152">IFERROR(_xlfn.IFS(AND(LEFT(F152,6)="Arbeid",RIGHT(F152,3)&lt;&gt;"IKS"),IFERROR(VLOOKUP($G152,Tb_KostenTypen[],2,0),"tarief"),RIGHT(F152,3)="IKS","Uurtarief",LEFT(F152,6)="Arbeid","Uurtarief",AND(LEFT(F152,8)="Bijdrage",RIGHT(F152,15)="(vrijwilligers)"),"Vast tarief"),"")</f>
        <v/>
      </c>
      <c r="O152" s="90"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0"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1"/>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59"/>
      <c r="Z152" s="49"/>
      <c r="AA152" s="37" t="str" cm="1">
        <f t="array" ref="AA152">IFERROR(IF(INDEX(SubsidieTabel!$Q$1:$T$9,MATCH($F152,SubsidieTabel!$Q$1:$Q$9,0),IFERROR(MATCH(Methode_Keuze,SubsidieTabel!$Q$1:$T$1,0),2))&lt;&gt;1=TRUE,"ja",""),"")</f>
        <v/>
      </c>
    </row>
    <row r="153" spans="1:27" ht="15" customHeight="1" x14ac:dyDescent="0.25">
      <c r="A153" s="85"/>
      <c r="B153" s="217" t="str">
        <f>IF(A153&lt;&gt;"",_xlfn.MAXIFS($B$1:B152,$A$1:A152,A153)+1,"")</f>
        <v/>
      </c>
      <c r="C153" s="50"/>
      <c r="D153" s="50"/>
      <c r="E153" s="50"/>
      <c r="F153" s="50"/>
      <c r="G153" s="280"/>
      <c r="H153" s="293"/>
      <c r="I153" s="292"/>
      <c r="J153" s="292"/>
      <c r="K153" s="200"/>
      <c r="L153" s="200"/>
      <c r="M153" s="89" t="str">
        <f>IFERROR(VLOOKUP(H153,Lijsten!$H$1:$I$100,2,0),"")</f>
        <v/>
      </c>
      <c r="N153" s="89" t="str" cm="1">
        <f t="array" ref="N153">IFERROR(_xlfn.IFS(AND(LEFT(F153,6)="Arbeid",RIGHT(F153,3)&lt;&gt;"IKS"),IFERROR(VLOOKUP($G153,Tb_KostenTypen[],2,0),"tarief"),RIGHT(F153,3)="IKS","Uurtarief",LEFT(F153,6)="Arbeid","Uurtarief",AND(LEFT(F153,8)="Bijdrage",RIGHT(F153,15)="(vrijwilligers)"),"Vast tarief"),"")</f>
        <v/>
      </c>
      <c r="O153" s="90"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0"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1"/>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59"/>
      <c r="Z153" s="49"/>
      <c r="AA153" s="37" t="str" cm="1">
        <f t="array" ref="AA153">IFERROR(IF(INDEX(SubsidieTabel!$Q$1:$T$9,MATCH($F153,SubsidieTabel!$Q$1:$Q$9,0),IFERROR(MATCH(Methode_Keuze,SubsidieTabel!$Q$1:$T$1,0),2))&lt;&gt;1=TRUE,"ja",""),"")</f>
        <v/>
      </c>
    </row>
    <row r="154" spans="1:27" ht="15" customHeight="1" x14ac:dyDescent="0.25">
      <c r="A154" s="85"/>
      <c r="B154" s="217" t="str">
        <f>IF(A154&lt;&gt;"",_xlfn.MAXIFS($B$1:B153,$A$1:A153,A154)+1,"")</f>
        <v/>
      </c>
      <c r="C154" s="50"/>
      <c r="D154" s="50"/>
      <c r="E154" s="50"/>
      <c r="F154" s="50"/>
      <c r="G154" s="280"/>
      <c r="H154" s="293"/>
      <c r="I154" s="292"/>
      <c r="J154" s="292"/>
      <c r="K154" s="200"/>
      <c r="L154" s="200"/>
      <c r="M154" s="89" t="str">
        <f>IFERROR(VLOOKUP(H154,Lijsten!$H$1:$I$100,2,0),"")</f>
        <v/>
      </c>
      <c r="N154" s="89" t="str" cm="1">
        <f t="array" ref="N154">IFERROR(_xlfn.IFS(AND(LEFT(F154,6)="Arbeid",RIGHT(F154,3)&lt;&gt;"IKS"),IFERROR(VLOOKUP($G154,Tb_KostenTypen[],2,0),"tarief"),RIGHT(F154,3)="IKS","Uurtarief",LEFT(F154,6)="Arbeid","Uurtarief",AND(LEFT(F154,8)="Bijdrage",RIGHT(F154,15)="(vrijwilligers)"),"Vast tarief"),"")</f>
        <v/>
      </c>
      <c r="O154" s="90"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0"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1"/>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59"/>
      <c r="Z154" s="49"/>
      <c r="AA154" s="37" t="str" cm="1">
        <f t="array" ref="AA154">IFERROR(IF(INDEX(SubsidieTabel!$Q$1:$T$9,MATCH($F154,SubsidieTabel!$Q$1:$Q$9,0),IFERROR(MATCH(Methode_Keuze,SubsidieTabel!$Q$1:$T$1,0),2))&lt;&gt;1=TRUE,"ja",""),"")</f>
        <v/>
      </c>
    </row>
    <row r="155" spans="1:27" ht="15" customHeight="1" x14ac:dyDescent="0.25">
      <c r="A155" s="85"/>
      <c r="B155" s="217" t="str">
        <f>IF(A155&lt;&gt;"",_xlfn.MAXIFS($B$1:B154,$A$1:A154,A155)+1,"")</f>
        <v/>
      </c>
      <c r="C155" s="50"/>
      <c r="D155" s="50"/>
      <c r="E155" s="50"/>
      <c r="F155" s="50"/>
      <c r="G155" s="280"/>
      <c r="H155" s="293"/>
      <c r="I155" s="292"/>
      <c r="J155" s="292"/>
      <c r="K155" s="200"/>
      <c r="L155" s="200"/>
      <c r="M155" s="89" t="str">
        <f>IFERROR(VLOOKUP(H155,Lijsten!$H$1:$I$100,2,0),"")</f>
        <v/>
      </c>
      <c r="N155" s="89" t="str" cm="1">
        <f t="array" ref="N155">IFERROR(_xlfn.IFS(AND(LEFT(F155,6)="Arbeid",RIGHT(F155,3)&lt;&gt;"IKS"),IFERROR(VLOOKUP($G155,Tb_KostenTypen[],2,0),"tarief"),RIGHT(F155,3)="IKS","Uurtarief",LEFT(F155,6)="Arbeid","Uurtarief",AND(LEFT(F155,8)="Bijdrage",RIGHT(F155,15)="(vrijwilligers)"),"Vast tarief"),"")</f>
        <v/>
      </c>
      <c r="O155" s="90"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0"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1"/>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59"/>
      <c r="Z155" s="49"/>
      <c r="AA155" s="37" t="str" cm="1">
        <f t="array" ref="AA155">IFERROR(IF(INDEX(SubsidieTabel!$Q$1:$T$9,MATCH($F155,SubsidieTabel!$Q$1:$Q$9,0),IFERROR(MATCH(Methode_Keuze,SubsidieTabel!$Q$1:$T$1,0),2))&lt;&gt;1=TRUE,"ja",""),"")</f>
        <v/>
      </c>
    </row>
    <row r="156" spans="1:27" ht="15" customHeight="1" x14ac:dyDescent="0.25">
      <c r="A156" s="85"/>
      <c r="B156" s="217" t="str">
        <f>IF(A156&lt;&gt;"",_xlfn.MAXIFS($B$1:B155,$A$1:A155,A156)+1,"")</f>
        <v/>
      </c>
      <c r="C156" s="50"/>
      <c r="D156" s="50"/>
      <c r="E156" s="50"/>
      <c r="F156" s="50"/>
      <c r="G156" s="280"/>
      <c r="H156" s="293"/>
      <c r="I156" s="292"/>
      <c r="J156" s="292"/>
      <c r="K156" s="200"/>
      <c r="L156" s="200"/>
      <c r="M156" s="89" t="str">
        <f>IFERROR(VLOOKUP(H156,Lijsten!$H$1:$I$100,2,0),"")</f>
        <v/>
      </c>
      <c r="N156" s="89" t="str" cm="1">
        <f t="array" ref="N156">IFERROR(_xlfn.IFS(AND(LEFT(F156,6)="Arbeid",RIGHT(F156,3)&lt;&gt;"IKS"),IFERROR(VLOOKUP($G156,Tb_KostenTypen[],2,0),"tarief"),RIGHT(F156,3)="IKS","Uurtarief",LEFT(F156,6)="Arbeid","Uurtarief",AND(LEFT(F156,8)="Bijdrage",RIGHT(F156,15)="(vrijwilligers)"),"Vast tarief"),"")</f>
        <v/>
      </c>
      <c r="O156" s="90"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0"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1"/>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59"/>
      <c r="Z156" s="49"/>
      <c r="AA156" s="37" t="str" cm="1">
        <f t="array" ref="AA156">IFERROR(IF(INDEX(SubsidieTabel!$Q$1:$T$9,MATCH($F156,SubsidieTabel!$Q$1:$Q$9,0),IFERROR(MATCH(Methode_Keuze,SubsidieTabel!$Q$1:$T$1,0),2))&lt;&gt;1=TRUE,"ja",""),"")</f>
        <v/>
      </c>
    </row>
    <row r="157" spans="1:27" ht="15" customHeight="1" x14ac:dyDescent="0.25">
      <c r="A157" s="85"/>
      <c r="B157" s="217" t="str">
        <f>IF(A157&lt;&gt;"",_xlfn.MAXIFS($B$1:B156,$A$1:A156,A157)+1,"")</f>
        <v/>
      </c>
      <c r="C157" s="50"/>
      <c r="D157" s="50"/>
      <c r="E157" s="50"/>
      <c r="F157" s="50"/>
      <c r="G157" s="280"/>
      <c r="H157" s="293"/>
      <c r="I157" s="292"/>
      <c r="J157" s="292"/>
      <c r="K157" s="200"/>
      <c r="L157" s="200"/>
      <c r="M157" s="89" t="str">
        <f>IFERROR(VLOOKUP(H157,Lijsten!$H$1:$I$100,2,0),"")</f>
        <v/>
      </c>
      <c r="N157" s="89" t="str" cm="1">
        <f t="array" ref="N157">IFERROR(_xlfn.IFS(AND(LEFT(F157,6)="Arbeid",RIGHT(F157,3)&lt;&gt;"IKS"),IFERROR(VLOOKUP($G157,Tb_KostenTypen[],2,0),"tarief"),RIGHT(F157,3)="IKS","Uurtarief",LEFT(F157,6)="Arbeid","Uurtarief",AND(LEFT(F157,8)="Bijdrage",RIGHT(F157,15)="(vrijwilligers)"),"Vast tarief"),"")</f>
        <v/>
      </c>
      <c r="O157" s="90"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0"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1"/>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59"/>
      <c r="Z157" s="49"/>
      <c r="AA157" s="37" t="str" cm="1">
        <f t="array" ref="AA157">IFERROR(IF(INDEX(SubsidieTabel!$Q$1:$T$9,MATCH($F157,SubsidieTabel!$Q$1:$Q$9,0),IFERROR(MATCH(Methode_Keuze,SubsidieTabel!$Q$1:$T$1,0),2))&lt;&gt;1=TRUE,"ja",""),"")</f>
        <v/>
      </c>
    </row>
    <row r="158" spans="1:27" ht="15" customHeight="1" x14ac:dyDescent="0.25">
      <c r="A158" s="85"/>
      <c r="B158" s="217" t="str">
        <f>IF(A158&lt;&gt;"",_xlfn.MAXIFS($B$1:B157,$A$1:A157,A158)+1,"")</f>
        <v/>
      </c>
      <c r="C158" s="50"/>
      <c r="D158" s="50"/>
      <c r="E158" s="50"/>
      <c r="F158" s="50"/>
      <c r="G158" s="280"/>
      <c r="H158" s="293"/>
      <c r="I158" s="292"/>
      <c r="J158" s="292"/>
      <c r="K158" s="200"/>
      <c r="L158" s="200"/>
      <c r="M158" s="89" t="str">
        <f>IFERROR(VLOOKUP(H158,Lijsten!$H$1:$I$100,2,0),"")</f>
        <v/>
      </c>
      <c r="N158" s="89" t="str" cm="1">
        <f t="array" ref="N158">IFERROR(_xlfn.IFS(AND(LEFT(F158,6)="Arbeid",RIGHT(F158,3)&lt;&gt;"IKS"),IFERROR(VLOOKUP($G158,Tb_KostenTypen[],2,0),"tarief"),RIGHT(F158,3)="IKS","Uurtarief",LEFT(F158,6)="Arbeid","Uurtarief",AND(LEFT(F158,8)="Bijdrage",RIGHT(F158,15)="(vrijwilligers)"),"Vast tarief"),"")</f>
        <v/>
      </c>
      <c r="O158" s="90"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0"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1"/>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59"/>
      <c r="Z158" s="49"/>
      <c r="AA158" s="37" t="str" cm="1">
        <f t="array" ref="AA158">IFERROR(IF(INDEX(SubsidieTabel!$Q$1:$T$9,MATCH($F158,SubsidieTabel!$Q$1:$Q$9,0),IFERROR(MATCH(Methode_Keuze,SubsidieTabel!$Q$1:$T$1,0),2))&lt;&gt;1=TRUE,"ja",""),"")</f>
        <v/>
      </c>
    </row>
    <row r="159" spans="1:27" ht="15" customHeight="1" x14ac:dyDescent="0.25">
      <c r="A159" s="85"/>
      <c r="B159" s="217" t="str">
        <f>IF(A159&lt;&gt;"",_xlfn.MAXIFS($B$1:B158,$A$1:A158,A159)+1,"")</f>
        <v/>
      </c>
      <c r="C159" s="50"/>
      <c r="D159" s="50"/>
      <c r="E159" s="50"/>
      <c r="F159" s="50"/>
      <c r="G159" s="280"/>
      <c r="H159" s="293"/>
      <c r="I159" s="292"/>
      <c r="J159" s="292"/>
      <c r="K159" s="200"/>
      <c r="L159" s="200"/>
      <c r="M159" s="89" t="str">
        <f>IFERROR(VLOOKUP(H159,Lijsten!$H$1:$I$100,2,0),"")</f>
        <v/>
      </c>
      <c r="N159" s="89" t="str" cm="1">
        <f t="array" ref="N159">IFERROR(_xlfn.IFS(AND(LEFT(F159,6)="Arbeid",RIGHT(F159,3)&lt;&gt;"IKS"),IFERROR(VLOOKUP($G159,Tb_KostenTypen[],2,0),"tarief"),RIGHT(F159,3)="IKS","Uurtarief",LEFT(F159,6)="Arbeid","Uurtarief",AND(LEFT(F159,8)="Bijdrage",RIGHT(F159,15)="(vrijwilligers)"),"Vast tarief"),"")</f>
        <v/>
      </c>
      <c r="O159" s="90"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0"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1"/>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59"/>
      <c r="Z159" s="49"/>
      <c r="AA159" s="37" t="str" cm="1">
        <f t="array" ref="AA159">IFERROR(IF(INDEX(SubsidieTabel!$Q$1:$T$9,MATCH($F159,SubsidieTabel!$Q$1:$Q$9,0),IFERROR(MATCH(Methode_Keuze,SubsidieTabel!$Q$1:$T$1,0),2))&lt;&gt;1=TRUE,"ja",""),"")</f>
        <v/>
      </c>
    </row>
    <row r="160" spans="1:27" ht="15" customHeight="1" x14ac:dyDescent="0.25">
      <c r="A160" s="85"/>
      <c r="B160" s="217" t="str">
        <f>IF(A160&lt;&gt;"",_xlfn.MAXIFS($B$1:B159,$A$1:A159,A160)+1,"")</f>
        <v/>
      </c>
      <c r="C160" s="50"/>
      <c r="D160" s="50"/>
      <c r="E160" s="50"/>
      <c r="F160" s="50"/>
      <c r="G160" s="280"/>
      <c r="H160" s="293"/>
      <c r="I160" s="292"/>
      <c r="J160" s="292"/>
      <c r="K160" s="200"/>
      <c r="L160" s="200"/>
      <c r="M160" s="89" t="str">
        <f>IFERROR(VLOOKUP(H160,Lijsten!$H$1:$I$100,2,0),"")</f>
        <v/>
      </c>
      <c r="N160" s="89" t="str" cm="1">
        <f t="array" ref="N160">IFERROR(_xlfn.IFS(AND(LEFT(F160,6)="Arbeid",RIGHT(F160,3)&lt;&gt;"IKS"),IFERROR(VLOOKUP($G160,Tb_KostenTypen[],2,0),"tarief"),RIGHT(F160,3)="IKS","Uurtarief",LEFT(F160,6)="Arbeid","Uurtarief",AND(LEFT(F160,8)="Bijdrage",RIGHT(F160,15)="(vrijwilligers)"),"Vast tarief"),"")</f>
        <v/>
      </c>
      <c r="O160" s="90"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0"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1"/>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59"/>
      <c r="Z160" s="49"/>
      <c r="AA160" s="37" t="str" cm="1">
        <f t="array" ref="AA160">IFERROR(IF(INDEX(SubsidieTabel!$Q$1:$T$9,MATCH($F160,SubsidieTabel!$Q$1:$Q$9,0),IFERROR(MATCH(Methode_Keuze,SubsidieTabel!$Q$1:$T$1,0),2))&lt;&gt;1=TRUE,"ja",""),"")</f>
        <v/>
      </c>
    </row>
    <row r="161" spans="1:27" ht="15" customHeight="1" x14ac:dyDescent="0.25">
      <c r="A161" s="85"/>
      <c r="B161" s="217" t="str">
        <f>IF(A161&lt;&gt;"",_xlfn.MAXIFS($B$1:B160,$A$1:A160,A161)+1,"")</f>
        <v/>
      </c>
      <c r="C161" s="50"/>
      <c r="D161" s="50"/>
      <c r="E161" s="50"/>
      <c r="F161" s="50"/>
      <c r="G161" s="280"/>
      <c r="H161" s="293"/>
      <c r="I161" s="292"/>
      <c r="J161" s="292"/>
      <c r="K161" s="200"/>
      <c r="L161" s="200"/>
      <c r="M161" s="89" t="str">
        <f>IFERROR(VLOOKUP(H161,Lijsten!$H$1:$I$100,2,0),"")</f>
        <v/>
      </c>
      <c r="N161" s="89" t="str" cm="1">
        <f t="array" ref="N161">IFERROR(_xlfn.IFS(AND(LEFT(F161,6)="Arbeid",RIGHT(F161,3)&lt;&gt;"IKS"),IFERROR(VLOOKUP($G161,Tb_KostenTypen[],2,0),"tarief"),RIGHT(F161,3)="IKS","Uurtarief",LEFT(F161,6)="Arbeid","Uurtarief",AND(LEFT(F161,8)="Bijdrage",RIGHT(F161,15)="(vrijwilligers)"),"Vast tarief"),"")</f>
        <v/>
      </c>
      <c r="O161" s="90"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0"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1"/>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59"/>
      <c r="Z161" s="49"/>
      <c r="AA161" s="37" t="str" cm="1">
        <f t="array" ref="AA161">IFERROR(IF(INDEX(SubsidieTabel!$Q$1:$T$9,MATCH($F161,SubsidieTabel!$Q$1:$Q$9,0),IFERROR(MATCH(Methode_Keuze,SubsidieTabel!$Q$1:$T$1,0),2))&lt;&gt;1=TRUE,"ja",""),"")</f>
        <v/>
      </c>
    </row>
    <row r="162" spans="1:27" ht="15" customHeight="1" x14ac:dyDescent="0.25">
      <c r="A162" s="85"/>
      <c r="B162" s="217" t="str">
        <f>IF(A162&lt;&gt;"",_xlfn.MAXIFS($B$1:B161,$A$1:A161,A162)+1,"")</f>
        <v/>
      </c>
      <c r="C162" s="50"/>
      <c r="D162" s="50"/>
      <c r="E162" s="50"/>
      <c r="F162" s="50"/>
      <c r="G162" s="280"/>
      <c r="H162" s="293"/>
      <c r="I162" s="292"/>
      <c r="J162" s="292"/>
      <c r="K162" s="200"/>
      <c r="L162" s="200"/>
      <c r="M162" s="89" t="str">
        <f>IFERROR(VLOOKUP(H162,Lijsten!$H$1:$I$100,2,0),"")</f>
        <v/>
      </c>
      <c r="N162" s="89" t="str" cm="1">
        <f t="array" ref="N162">IFERROR(_xlfn.IFS(AND(LEFT(F162,6)="Arbeid",RIGHT(F162,3)&lt;&gt;"IKS"),IFERROR(VLOOKUP($G162,Tb_KostenTypen[],2,0),"tarief"),RIGHT(F162,3)="IKS","Uurtarief",LEFT(F162,6)="Arbeid","Uurtarief",AND(LEFT(F162,8)="Bijdrage",RIGHT(F162,15)="(vrijwilligers)"),"Vast tarief"),"")</f>
        <v/>
      </c>
      <c r="O162" s="90"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0"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1"/>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59"/>
      <c r="Z162" s="49"/>
      <c r="AA162" s="37" t="str" cm="1">
        <f t="array" ref="AA162">IFERROR(IF(INDEX(SubsidieTabel!$Q$1:$T$9,MATCH($F162,SubsidieTabel!$Q$1:$Q$9,0),IFERROR(MATCH(Methode_Keuze,SubsidieTabel!$Q$1:$T$1,0),2))&lt;&gt;1=TRUE,"ja",""),"")</f>
        <v/>
      </c>
    </row>
    <row r="163" spans="1:27" ht="15" customHeight="1" x14ac:dyDescent="0.25">
      <c r="A163" s="85"/>
      <c r="B163" s="217" t="str">
        <f>IF(A163&lt;&gt;"",_xlfn.MAXIFS($B$1:B162,$A$1:A162,A163)+1,"")</f>
        <v/>
      </c>
      <c r="C163" s="50"/>
      <c r="D163" s="50"/>
      <c r="E163" s="50"/>
      <c r="F163" s="50"/>
      <c r="G163" s="280"/>
      <c r="H163" s="293"/>
      <c r="I163" s="292"/>
      <c r="J163" s="292"/>
      <c r="K163" s="200"/>
      <c r="L163" s="200"/>
      <c r="M163" s="89" t="str">
        <f>IFERROR(VLOOKUP(H163,Lijsten!$H$1:$I$100,2,0),"")</f>
        <v/>
      </c>
      <c r="N163" s="89" t="str" cm="1">
        <f t="array" ref="N163">IFERROR(_xlfn.IFS(AND(LEFT(F163,6)="Arbeid",RIGHT(F163,3)&lt;&gt;"IKS"),IFERROR(VLOOKUP($G163,Tb_KostenTypen[],2,0),"tarief"),RIGHT(F163,3)="IKS","Uurtarief",LEFT(F163,6)="Arbeid","Uurtarief",AND(LEFT(F163,8)="Bijdrage",RIGHT(F163,15)="(vrijwilligers)"),"Vast tarief"),"")</f>
        <v/>
      </c>
      <c r="O163" s="90"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0"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1"/>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59"/>
      <c r="Z163" s="49"/>
      <c r="AA163" s="37" t="str" cm="1">
        <f t="array" ref="AA163">IFERROR(IF(INDEX(SubsidieTabel!$Q$1:$T$9,MATCH($F163,SubsidieTabel!$Q$1:$Q$9,0),IFERROR(MATCH(Methode_Keuze,SubsidieTabel!$Q$1:$T$1,0),2))&lt;&gt;1=TRUE,"ja",""),"")</f>
        <v/>
      </c>
    </row>
    <row r="164" spans="1:27" ht="15" customHeight="1" x14ac:dyDescent="0.25">
      <c r="A164" s="85"/>
      <c r="B164" s="217" t="str">
        <f>IF(A164&lt;&gt;"",_xlfn.MAXIFS($B$1:B163,$A$1:A163,A164)+1,"")</f>
        <v/>
      </c>
      <c r="C164" s="50"/>
      <c r="D164" s="50"/>
      <c r="E164" s="50"/>
      <c r="F164" s="50"/>
      <c r="G164" s="280"/>
      <c r="H164" s="293"/>
      <c r="I164" s="292"/>
      <c r="J164" s="292"/>
      <c r="K164" s="200"/>
      <c r="L164" s="200"/>
      <c r="M164" s="89" t="str">
        <f>IFERROR(VLOOKUP(H164,Lijsten!$H$1:$I$100,2,0),"")</f>
        <v/>
      </c>
      <c r="N164" s="89" t="str" cm="1">
        <f t="array" ref="N164">IFERROR(_xlfn.IFS(AND(LEFT(F164,6)="Arbeid",RIGHT(F164,3)&lt;&gt;"IKS"),IFERROR(VLOOKUP($G164,Tb_KostenTypen[],2,0),"tarief"),RIGHT(F164,3)="IKS","Uurtarief",LEFT(F164,6)="Arbeid","Uurtarief",AND(LEFT(F164,8)="Bijdrage",RIGHT(F164,15)="(vrijwilligers)"),"Vast tarief"),"")</f>
        <v/>
      </c>
      <c r="O164" s="90"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0"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1"/>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59"/>
      <c r="Z164" s="49"/>
      <c r="AA164" s="37" t="str" cm="1">
        <f t="array" ref="AA164">IFERROR(IF(INDEX(SubsidieTabel!$Q$1:$T$9,MATCH($F164,SubsidieTabel!$Q$1:$Q$9,0),IFERROR(MATCH(Methode_Keuze,SubsidieTabel!$Q$1:$T$1,0),2))&lt;&gt;1=TRUE,"ja",""),"")</f>
        <v/>
      </c>
    </row>
    <row r="165" spans="1:27" ht="15" customHeight="1" x14ac:dyDescent="0.25">
      <c r="A165" s="85"/>
      <c r="B165" s="217" t="str">
        <f>IF(A165&lt;&gt;"",_xlfn.MAXIFS($B$1:B164,$A$1:A164,A165)+1,"")</f>
        <v/>
      </c>
      <c r="C165" s="50"/>
      <c r="D165" s="50"/>
      <c r="E165" s="50"/>
      <c r="F165" s="50"/>
      <c r="G165" s="280"/>
      <c r="H165" s="293"/>
      <c r="I165" s="292"/>
      <c r="J165" s="292"/>
      <c r="K165" s="200"/>
      <c r="L165" s="200"/>
      <c r="M165" s="89" t="str">
        <f>IFERROR(VLOOKUP(H165,Lijsten!$H$1:$I$100,2,0),"")</f>
        <v/>
      </c>
      <c r="N165" s="89" t="str" cm="1">
        <f t="array" ref="N165">IFERROR(_xlfn.IFS(AND(LEFT(F165,6)="Arbeid",RIGHT(F165,3)&lt;&gt;"IKS"),IFERROR(VLOOKUP($G165,Tb_KostenTypen[],2,0),"tarief"),RIGHT(F165,3)="IKS","Uurtarief",LEFT(F165,6)="Arbeid","Uurtarief",AND(LEFT(F165,8)="Bijdrage",RIGHT(F165,15)="(vrijwilligers)"),"Vast tarief"),"")</f>
        <v/>
      </c>
      <c r="O165" s="90"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0"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1"/>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59"/>
      <c r="Z165" s="49"/>
      <c r="AA165" s="37" t="str" cm="1">
        <f t="array" ref="AA165">IFERROR(IF(INDEX(SubsidieTabel!$Q$1:$T$9,MATCH($F165,SubsidieTabel!$Q$1:$Q$9,0),IFERROR(MATCH(Methode_Keuze,SubsidieTabel!$Q$1:$T$1,0),2))&lt;&gt;1=TRUE,"ja",""),"")</f>
        <v/>
      </c>
    </row>
    <row r="166" spans="1:27" ht="15" customHeight="1" x14ac:dyDescent="0.25">
      <c r="A166" s="85"/>
      <c r="B166" s="217" t="str">
        <f>IF(A166&lt;&gt;"",_xlfn.MAXIFS($B$1:B165,$A$1:A165,A166)+1,"")</f>
        <v/>
      </c>
      <c r="C166" s="50"/>
      <c r="D166" s="50"/>
      <c r="E166" s="50"/>
      <c r="F166" s="50"/>
      <c r="G166" s="280"/>
      <c r="H166" s="293"/>
      <c r="I166" s="292"/>
      <c r="J166" s="292"/>
      <c r="K166" s="200"/>
      <c r="L166" s="200"/>
      <c r="M166" s="89" t="str">
        <f>IFERROR(VLOOKUP(H166,Lijsten!$H$1:$I$100,2,0),"")</f>
        <v/>
      </c>
      <c r="N166" s="89" t="str" cm="1">
        <f t="array" ref="N166">IFERROR(_xlfn.IFS(AND(LEFT(F166,6)="Arbeid",RIGHT(F166,3)&lt;&gt;"IKS"),IFERROR(VLOOKUP($G166,Tb_KostenTypen[],2,0),"tarief"),RIGHT(F166,3)="IKS","Uurtarief",LEFT(F166,6)="Arbeid","Uurtarief",AND(LEFT(F166,8)="Bijdrage",RIGHT(F166,15)="(vrijwilligers)"),"Vast tarief"),"")</f>
        <v/>
      </c>
      <c r="O166" s="90"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0"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1"/>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59"/>
      <c r="Z166" s="49"/>
      <c r="AA166" s="37" t="str" cm="1">
        <f t="array" ref="AA166">IFERROR(IF(INDEX(SubsidieTabel!$Q$1:$T$9,MATCH($F166,SubsidieTabel!$Q$1:$Q$9,0),IFERROR(MATCH(Methode_Keuze,SubsidieTabel!$Q$1:$T$1,0),2))&lt;&gt;1=TRUE,"ja",""),"")</f>
        <v/>
      </c>
    </row>
    <row r="167" spans="1:27" ht="15" customHeight="1" x14ac:dyDescent="0.25">
      <c r="A167" s="85"/>
      <c r="B167" s="217" t="str">
        <f>IF(A167&lt;&gt;"",_xlfn.MAXIFS($B$1:B166,$A$1:A166,A167)+1,"")</f>
        <v/>
      </c>
      <c r="C167" s="50"/>
      <c r="D167" s="50"/>
      <c r="E167" s="50"/>
      <c r="F167" s="50"/>
      <c r="G167" s="280"/>
      <c r="H167" s="293"/>
      <c r="I167" s="292"/>
      <c r="J167" s="292"/>
      <c r="K167" s="200"/>
      <c r="L167" s="200"/>
      <c r="M167" s="89" t="str">
        <f>IFERROR(VLOOKUP(H167,Lijsten!$H$1:$I$100,2,0),"")</f>
        <v/>
      </c>
      <c r="N167" s="89" t="str" cm="1">
        <f t="array" ref="N167">IFERROR(_xlfn.IFS(AND(LEFT(F167,6)="Arbeid",RIGHT(F167,3)&lt;&gt;"IKS"),IFERROR(VLOOKUP($G167,Tb_KostenTypen[],2,0),"tarief"),RIGHT(F167,3)="IKS","Uurtarief",LEFT(F167,6)="Arbeid","Uurtarief",AND(LEFT(F167,8)="Bijdrage",RIGHT(F167,15)="(vrijwilligers)"),"Vast tarief"),"")</f>
        <v/>
      </c>
      <c r="O167" s="90"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0"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1"/>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59"/>
      <c r="Z167" s="49"/>
      <c r="AA167" s="37" t="str" cm="1">
        <f t="array" ref="AA167">IFERROR(IF(INDEX(SubsidieTabel!$Q$1:$T$9,MATCH($F167,SubsidieTabel!$Q$1:$Q$9,0),IFERROR(MATCH(Methode_Keuze,SubsidieTabel!$Q$1:$T$1,0),2))&lt;&gt;1=TRUE,"ja",""),"")</f>
        <v/>
      </c>
    </row>
    <row r="168" spans="1:27" ht="15" customHeight="1" x14ac:dyDescent="0.25">
      <c r="A168" s="85"/>
      <c r="B168" s="217" t="str">
        <f>IF(A168&lt;&gt;"",_xlfn.MAXIFS($B$1:B167,$A$1:A167,A168)+1,"")</f>
        <v/>
      </c>
      <c r="C168" s="50"/>
      <c r="D168" s="50"/>
      <c r="E168" s="50"/>
      <c r="F168" s="50"/>
      <c r="G168" s="280"/>
      <c r="H168" s="293"/>
      <c r="I168" s="292"/>
      <c r="J168" s="292"/>
      <c r="K168" s="200"/>
      <c r="L168" s="200"/>
      <c r="M168" s="89" t="str">
        <f>IFERROR(VLOOKUP(H168,Lijsten!$H$1:$I$100,2,0),"")</f>
        <v/>
      </c>
      <c r="N168" s="89" t="str" cm="1">
        <f t="array" ref="N168">IFERROR(_xlfn.IFS(AND(LEFT(F168,6)="Arbeid",RIGHT(F168,3)&lt;&gt;"IKS"),IFERROR(VLOOKUP($G168,Tb_KostenTypen[],2,0),"tarief"),RIGHT(F168,3)="IKS","Uurtarief",LEFT(F168,6)="Arbeid","Uurtarief",AND(LEFT(F168,8)="Bijdrage",RIGHT(F168,15)="(vrijwilligers)"),"Vast tarief"),"")</f>
        <v/>
      </c>
      <c r="O168" s="90"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0"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1"/>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59"/>
      <c r="Z168" s="49"/>
      <c r="AA168" s="37" t="str" cm="1">
        <f t="array" ref="AA168">IFERROR(IF(INDEX(SubsidieTabel!$Q$1:$T$9,MATCH($F168,SubsidieTabel!$Q$1:$Q$9,0),IFERROR(MATCH(Methode_Keuze,SubsidieTabel!$Q$1:$T$1,0),2))&lt;&gt;1=TRUE,"ja",""),"")</f>
        <v/>
      </c>
    </row>
    <row r="169" spans="1:27" ht="15" customHeight="1" x14ac:dyDescent="0.25">
      <c r="A169" s="85"/>
      <c r="B169" s="217" t="str">
        <f>IF(A169&lt;&gt;"",_xlfn.MAXIFS($B$1:B168,$A$1:A168,A169)+1,"")</f>
        <v/>
      </c>
      <c r="C169" s="50"/>
      <c r="D169" s="50"/>
      <c r="E169" s="50"/>
      <c r="F169" s="50"/>
      <c r="G169" s="280"/>
      <c r="H169" s="293"/>
      <c r="I169" s="292"/>
      <c r="J169" s="292"/>
      <c r="K169" s="200"/>
      <c r="L169" s="200"/>
      <c r="M169" s="89" t="str">
        <f>IFERROR(VLOOKUP(H169,Lijsten!$H$1:$I$100,2,0),"")</f>
        <v/>
      </c>
      <c r="N169" s="89" t="str" cm="1">
        <f t="array" ref="N169">IFERROR(_xlfn.IFS(AND(LEFT(F169,6)="Arbeid",RIGHT(F169,3)&lt;&gt;"IKS"),IFERROR(VLOOKUP($G169,Tb_KostenTypen[],2,0),"tarief"),RIGHT(F169,3)="IKS","Uurtarief",LEFT(F169,6)="Arbeid","Uurtarief",AND(LEFT(F169,8)="Bijdrage",RIGHT(F169,15)="(vrijwilligers)"),"Vast tarief"),"")</f>
        <v/>
      </c>
      <c r="O169" s="90"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0"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1"/>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59"/>
      <c r="Z169" s="49"/>
      <c r="AA169" s="37" t="str" cm="1">
        <f t="array" ref="AA169">IFERROR(IF(INDEX(SubsidieTabel!$Q$1:$T$9,MATCH($F169,SubsidieTabel!$Q$1:$Q$9,0),IFERROR(MATCH(Methode_Keuze,SubsidieTabel!$Q$1:$T$1,0),2))&lt;&gt;1=TRUE,"ja",""),"")</f>
        <v/>
      </c>
    </row>
    <row r="170" spans="1:27" ht="15" customHeight="1" x14ac:dyDescent="0.25">
      <c r="A170" s="85"/>
      <c r="B170" s="217" t="str">
        <f>IF(A170&lt;&gt;"",_xlfn.MAXIFS($B$1:B169,$A$1:A169,A170)+1,"")</f>
        <v/>
      </c>
      <c r="C170" s="50"/>
      <c r="D170" s="50"/>
      <c r="E170" s="50"/>
      <c r="F170" s="50"/>
      <c r="G170" s="280"/>
      <c r="H170" s="293"/>
      <c r="I170" s="292"/>
      <c r="J170" s="292"/>
      <c r="K170" s="200"/>
      <c r="L170" s="200"/>
      <c r="M170" s="89" t="str">
        <f>IFERROR(VLOOKUP(H170,Lijsten!$H$1:$I$100,2,0),"")</f>
        <v/>
      </c>
      <c r="N170" s="89" t="str" cm="1">
        <f t="array" ref="N170">IFERROR(_xlfn.IFS(AND(LEFT(F170,6)="Arbeid",RIGHT(F170,3)&lt;&gt;"IKS"),IFERROR(VLOOKUP($G170,Tb_KostenTypen[],2,0),"tarief"),RIGHT(F170,3)="IKS","Uurtarief",LEFT(F170,6)="Arbeid","Uurtarief",AND(LEFT(F170,8)="Bijdrage",RIGHT(F170,15)="(vrijwilligers)"),"Vast tarief"),"")</f>
        <v/>
      </c>
      <c r="O170" s="90"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0"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1"/>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59"/>
      <c r="Z170" s="49"/>
      <c r="AA170" s="37" t="str" cm="1">
        <f t="array" ref="AA170">IFERROR(IF(INDEX(SubsidieTabel!$Q$1:$T$9,MATCH($F170,SubsidieTabel!$Q$1:$Q$9,0),IFERROR(MATCH(Methode_Keuze,SubsidieTabel!$Q$1:$T$1,0),2))&lt;&gt;1=TRUE,"ja",""),"")</f>
        <v/>
      </c>
    </row>
    <row r="171" spans="1:27" ht="15" customHeight="1" x14ac:dyDescent="0.25">
      <c r="A171" s="85"/>
      <c r="B171" s="217" t="str">
        <f>IF(A171&lt;&gt;"",_xlfn.MAXIFS($B$1:B170,$A$1:A170,A171)+1,"")</f>
        <v/>
      </c>
      <c r="C171" s="50"/>
      <c r="D171" s="50"/>
      <c r="E171" s="50"/>
      <c r="F171" s="50"/>
      <c r="G171" s="280"/>
      <c r="H171" s="293"/>
      <c r="I171" s="292"/>
      <c r="J171" s="292"/>
      <c r="K171" s="200"/>
      <c r="L171" s="200"/>
      <c r="M171" s="89" t="str">
        <f>IFERROR(VLOOKUP(H171,Lijsten!$H$1:$I$100,2,0),"")</f>
        <v/>
      </c>
      <c r="N171" s="89" t="str" cm="1">
        <f t="array" ref="N171">IFERROR(_xlfn.IFS(AND(LEFT(F171,6)="Arbeid",RIGHT(F171,3)&lt;&gt;"IKS"),IFERROR(VLOOKUP($G171,Tb_KostenTypen[],2,0),"tarief"),RIGHT(F171,3)="IKS","Uurtarief",LEFT(F171,6)="Arbeid","Uurtarief",AND(LEFT(F171,8)="Bijdrage",RIGHT(F171,15)="(vrijwilligers)"),"Vast tarief"),"")</f>
        <v/>
      </c>
      <c r="O171" s="90"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0"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1"/>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59"/>
      <c r="Z171" s="49"/>
      <c r="AA171" s="37" t="str" cm="1">
        <f t="array" ref="AA171">IFERROR(IF(INDEX(SubsidieTabel!$Q$1:$T$9,MATCH($F171,SubsidieTabel!$Q$1:$Q$9,0),IFERROR(MATCH(Methode_Keuze,SubsidieTabel!$Q$1:$T$1,0),2))&lt;&gt;1=TRUE,"ja",""),"")</f>
        <v/>
      </c>
    </row>
    <row r="172" spans="1:27" ht="15" customHeight="1" x14ac:dyDescent="0.25">
      <c r="A172" s="85"/>
      <c r="B172" s="217" t="str">
        <f>IF(A172&lt;&gt;"",_xlfn.MAXIFS($B$1:B171,$A$1:A171,A172)+1,"")</f>
        <v/>
      </c>
      <c r="C172" s="50"/>
      <c r="D172" s="50"/>
      <c r="E172" s="50"/>
      <c r="F172" s="50"/>
      <c r="G172" s="280"/>
      <c r="H172" s="293"/>
      <c r="I172" s="292"/>
      <c r="J172" s="292"/>
      <c r="K172" s="200"/>
      <c r="L172" s="200"/>
      <c r="M172" s="89" t="str">
        <f>IFERROR(VLOOKUP(H172,Lijsten!$H$1:$I$100,2,0),"")</f>
        <v/>
      </c>
      <c r="N172" s="89" t="str" cm="1">
        <f t="array" ref="N172">IFERROR(_xlfn.IFS(AND(LEFT(F172,6)="Arbeid",RIGHT(F172,3)&lt;&gt;"IKS"),IFERROR(VLOOKUP($G172,Tb_KostenTypen[],2,0),"tarief"),RIGHT(F172,3)="IKS","Uurtarief",LEFT(F172,6)="Arbeid","Uurtarief",AND(LEFT(F172,8)="Bijdrage",RIGHT(F172,15)="(vrijwilligers)"),"Vast tarief"),"")</f>
        <v/>
      </c>
      <c r="O172" s="90"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0"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1"/>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59"/>
      <c r="Z172" s="49"/>
      <c r="AA172" s="37" t="str" cm="1">
        <f t="array" ref="AA172">IFERROR(IF(INDEX(SubsidieTabel!$Q$1:$T$9,MATCH($F172,SubsidieTabel!$Q$1:$Q$9,0),IFERROR(MATCH(Methode_Keuze,SubsidieTabel!$Q$1:$T$1,0),2))&lt;&gt;1=TRUE,"ja",""),"")</f>
        <v/>
      </c>
    </row>
    <row r="173" spans="1:27" ht="15" customHeight="1" x14ac:dyDescent="0.25">
      <c r="A173" s="85"/>
      <c r="B173" s="217" t="str">
        <f>IF(A173&lt;&gt;"",_xlfn.MAXIFS($B$1:B172,$A$1:A172,A173)+1,"")</f>
        <v/>
      </c>
      <c r="C173" s="50"/>
      <c r="D173" s="50"/>
      <c r="E173" s="50"/>
      <c r="F173" s="50"/>
      <c r="G173" s="280"/>
      <c r="H173" s="293"/>
      <c r="I173" s="292"/>
      <c r="J173" s="292"/>
      <c r="K173" s="200"/>
      <c r="L173" s="200"/>
      <c r="M173" s="89" t="str">
        <f>IFERROR(VLOOKUP(H173,Lijsten!$H$1:$I$100,2,0),"")</f>
        <v/>
      </c>
      <c r="N173" s="89" t="str" cm="1">
        <f t="array" ref="N173">IFERROR(_xlfn.IFS(AND(LEFT(F173,6)="Arbeid",RIGHT(F173,3)&lt;&gt;"IKS"),IFERROR(VLOOKUP($G173,Tb_KostenTypen[],2,0),"tarief"),RIGHT(F173,3)="IKS","Uurtarief",LEFT(F173,6)="Arbeid","Uurtarief",AND(LEFT(F173,8)="Bijdrage",RIGHT(F173,15)="(vrijwilligers)"),"Vast tarief"),"")</f>
        <v/>
      </c>
      <c r="O173" s="90"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0"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1"/>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59"/>
      <c r="Z173" s="49"/>
      <c r="AA173" s="37" t="str" cm="1">
        <f t="array" ref="AA173">IFERROR(IF(INDEX(SubsidieTabel!$Q$1:$T$9,MATCH($F173,SubsidieTabel!$Q$1:$Q$9,0),IFERROR(MATCH(Methode_Keuze,SubsidieTabel!$Q$1:$T$1,0),2))&lt;&gt;1=TRUE,"ja",""),"")</f>
        <v/>
      </c>
    </row>
    <row r="174" spans="1:27" ht="15" customHeight="1" x14ac:dyDescent="0.25">
      <c r="A174" s="85"/>
      <c r="B174" s="217" t="str">
        <f>IF(A174&lt;&gt;"",_xlfn.MAXIFS($B$1:B173,$A$1:A173,A174)+1,"")</f>
        <v/>
      </c>
      <c r="C174" s="50"/>
      <c r="D174" s="50"/>
      <c r="E174" s="50"/>
      <c r="F174" s="50"/>
      <c r="G174" s="280"/>
      <c r="H174" s="293"/>
      <c r="I174" s="292"/>
      <c r="J174" s="292"/>
      <c r="K174" s="200"/>
      <c r="L174" s="200"/>
      <c r="M174" s="89" t="str">
        <f>IFERROR(VLOOKUP(H174,Lijsten!$H$1:$I$100,2,0),"")</f>
        <v/>
      </c>
      <c r="N174" s="89" t="str" cm="1">
        <f t="array" ref="N174">IFERROR(_xlfn.IFS(AND(LEFT(F174,6)="Arbeid",RIGHT(F174,3)&lt;&gt;"IKS"),IFERROR(VLOOKUP($G174,Tb_KostenTypen[],2,0),"tarief"),RIGHT(F174,3)="IKS","Uurtarief",LEFT(F174,6)="Arbeid","Uurtarief",AND(LEFT(F174,8)="Bijdrage",RIGHT(F174,15)="(vrijwilligers)"),"Vast tarief"),"")</f>
        <v/>
      </c>
      <c r="O174" s="90"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0"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1"/>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59"/>
      <c r="Z174" s="49"/>
      <c r="AA174" s="37" t="str" cm="1">
        <f t="array" ref="AA174">IFERROR(IF(INDEX(SubsidieTabel!$Q$1:$T$9,MATCH($F174,SubsidieTabel!$Q$1:$Q$9,0),IFERROR(MATCH(Methode_Keuze,SubsidieTabel!$Q$1:$T$1,0),2))&lt;&gt;1=TRUE,"ja",""),"")</f>
        <v/>
      </c>
    </row>
    <row r="175" spans="1:27" ht="15" customHeight="1" x14ac:dyDescent="0.25">
      <c r="A175" s="85"/>
      <c r="B175" s="217" t="str">
        <f>IF(A175&lt;&gt;"",_xlfn.MAXIFS($B$1:B174,$A$1:A174,A175)+1,"")</f>
        <v/>
      </c>
      <c r="C175" s="50"/>
      <c r="D175" s="50"/>
      <c r="E175" s="50"/>
      <c r="F175" s="50"/>
      <c r="G175" s="280"/>
      <c r="H175" s="293"/>
      <c r="I175" s="292"/>
      <c r="J175" s="292"/>
      <c r="K175" s="200"/>
      <c r="L175" s="200"/>
      <c r="M175" s="89" t="str">
        <f>IFERROR(VLOOKUP(H175,Lijsten!$H$1:$I$100,2,0),"")</f>
        <v/>
      </c>
      <c r="N175" s="89" t="str" cm="1">
        <f t="array" ref="N175">IFERROR(_xlfn.IFS(AND(LEFT(F175,6)="Arbeid",RIGHT(F175,3)&lt;&gt;"IKS"),IFERROR(VLOOKUP($G175,Tb_KostenTypen[],2,0),"tarief"),RIGHT(F175,3)="IKS","Uurtarief",LEFT(F175,6)="Arbeid","Uurtarief",AND(LEFT(F175,8)="Bijdrage",RIGHT(F175,15)="(vrijwilligers)"),"Vast tarief"),"")</f>
        <v/>
      </c>
      <c r="O175" s="90"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0"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1"/>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59"/>
      <c r="Z175" s="49"/>
      <c r="AA175" s="37" t="str" cm="1">
        <f t="array" ref="AA175">IFERROR(IF(INDEX(SubsidieTabel!$Q$1:$T$9,MATCH($F175,SubsidieTabel!$Q$1:$Q$9,0),IFERROR(MATCH(Methode_Keuze,SubsidieTabel!$Q$1:$T$1,0),2))&lt;&gt;1=TRUE,"ja",""),"")</f>
        <v/>
      </c>
    </row>
    <row r="176" spans="1:27" ht="15" customHeight="1" x14ac:dyDescent="0.25">
      <c r="A176" s="85"/>
      <c r="B176" s="217" t="str">
        <f>IF(A176&lt;&gt;"",_xlfn.MAXIFS($B$1:B175,$A$1:A175,A176)+1,"")</f>
        <v/>
      </c>
      <c r="C176" s="50"/>
      <c r="D176" s="50"/>
      <c r="E176" s="50"/>
      <c r="F176" s="50"/>
      <c r="G176" s="280"/>
      <c r="H176" s="293"/>
      <c r="I176" s="292"/>
      <c r="J176" s="292"/>
      <c r="K176" s="200"/>
      <c r="L176" s="200"/>
      <c r="M176" s="89" t="str">
        <f>IFERROR(VLOOKUP(H176,Lijsten!$H$1:$I$100,2,0),"")</f>
        <v/>
      </c>
      <c r="N176" s="89" t="str" cm="1">
        <f t="array" ref="N176">IFERROR(_xlfn.IFS(AND(LEFT(F176,6)="Arbeid",RIGHT(F176,3)&lt;&gt;"IKS"),IFERROR(VLOOKUP($G176,Tb_KostenTypen[],2,0),"tarief"),RIGHT(F176,3)="IKS","Uurtarief",LEFT(F176,6)="Arbeid","Uurtarief",AND(LEFT(F176,8)="Bijdrage",RIGHT(F176,15)="(vrijwilligers)"),"Vast tarief"),"")</f>
        <v/>
      </c>
      <c r="O176" s="90"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0"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1"/>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59"/>
      <c r="Z176" s="49"/>
      <c r="AA176" s="37" t="str" cm="1">
        <f t="array" ref="AA176">IFERROR(IF(INDEX(SubsidieTabel!$Q$1:$T$9,MATCH($F176,SubsidieTabel!$Q$1:$Q$9,0),IFERROR(MATCH(Methode_Keuze,SubsidieTabel!$Q$1:$T$1,0),2))&lt;&gt;1=TRUE,"ja",""),"")</f>
        <v/>
      </c>
    </row>
    <row r="177" spans="1:27" ht="15" customHeight="1" x14ac:dyDescent="0.25">
      <c r="A177" s="85"/>
      <c r="B177" s="217" t="str">
        <f>IF(A177&lt;&gt;"",_xlfn.MAXIFS($B$1:B176,$A$1:A176,A177)+1,"")</f>
        <v/>
      </c>
      <c r="C177" s="50"/>
      <c r="D177" s="50"/>
      <c r="E177" s="50"/>
      <c r="F177" s="50"/>
      <c r="G177" s="280"/>
      <c r="H177" s="293"/>
      <c r="I177" s="292"/>
      <c r="J177" s="292"/>
      <c r="K177" s="200"/>
      <c r="L177" s="200"/>
      <c r="M177" s="89" t="str">
        <f>IFERROR(VLOOKUP(H177,Lijsten!$H$1:$I$100,2,0),"")</f>
        <v/>
      </c>
      <c r="N177" s="89" t="str" cm="1">
        <f t="array" ref="N177">IFERROR(_xlfn.IFS(AND(LEFT(F177,6)="Arbeid",RIGHT(F177,3)&lt;&gt;"IKS"),IFERROR(VLOOKUP($G177,Tb_KostenTypen[],2,0),"tarief"),RIGHT(F177,3)="IKS","Uurtarief",LEFT(F177,6)="Arbeid","Uurtarief",AND(LEFT(F177,8)="Bijdrage",RIGHT(F177,15)="(vrijwilligers)"),"Vast tarief"),"")</f>
        <v/>
      </c>
      <c r="O177" s="90"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0"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1"/>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59"/>
      <c r="Z177" s="49"/>
      <c r="AA177" s="37" t="str" cm="1">
        <f t="array" ref="AA177">IFERROR(IF(INDEX(SubsidieTabel!$Q$1:$T$9,MATCH($F177,SubsidieTabel!$Q$1:$Q$9,0),IFERROR(MATCH(Methode_Keuze,SubsidieTabel!$Q$1:$T$1,0),2))&lt;&gt;1=TRUE,"ja",""),"")</f>
        <v/>
      </c>
    </row>
    <row r="178" spans="1:27" ht="15" customHeight="1" x14ac:dyDescent="0.25">
      <c r="A178" s="85"/>
      <c r="B178" s="217" t="str">
        <f>IF(A178&lt;&gt;"",_xlfn.MAXIFS($B$1:B177,$A$1:A177,A178)+1,"")</f>
        <v/>
      </c>
      <c r="C178" s="50"/>
      <c r="D178" s="50"/>
      <c r="E178" s="50"/>
      <c r="F178" s="50"/>
      <c r="G178" s="280"/>
      <c r="H178" s="293"/>
      <c r="I178" s="292"/>
      <c r="J178" s="292"/>
      <c r="K178" s="200"/>
      <c r="L178" s="200"/>
      <c r="M178" s="89" t="str">
        <f>IFERROR(VLOOKUP(H178,Lijsten!$H$1:$I$100,2,0),"")</f>
        <v/>
      </c>
      <c r="N178" s="89" t="str" cm="1">
        <f t="array" ref="N178">IFERROR(_xlfn.IFS(AND(LEFT(F178,6)="Arbeid",RIGHT(F178,3)&lt;&gt;"IKS"),IFERROR(VLOOKUP($G178,Tb_KostenTypen[],2,0),"tarief"),RIGHT(F178,3)="IKS","Uurtarief",LEFT(F178,6)="Arbeid","Uurtarief",AND(LEFT(F178,8)="Bijdrage",RIGHT(F178,15)="(vrijwilligers)"),"Vast tarief"),"")</f>
        <v/>
      </c>
      <c r="O178" s="90"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0"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1"/>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59"/>
      <c r="Z178" s="49"/>
      <c r="AA178" s="37" t="str" cm="1">
        <f t="array" ref="AA178">IFERROR(IF(INDEX(SubsidieTabel!$Q$1:$T$9,MATCH($F178,SubsidieTabel!$Q$1:$Q$9,0),IFERROR(MATCH(Methode_Keuze,SubsidieTabel!$Q$1:$T$1,0),2))&lt;&gt;1=TRUE,"ja",""),"")</f>
        <v/>
      </c>
    </row>
    <row r="179" spans="1:27" ht="15" customHeight="1" x14ac:dyDescent="0.25">
      <c r="A179" s="85"/>
      <c r="B179" s="217" t="str">
        <f>IF(A179&lt;&gt;"",_xlfn.MAXIFS($B$1:B178,$A$1:A178,A179)+1,"")</f>
        <v/>
      </c>
      <c r="C179" s="50"/>
      <c r="D179" s="50"/>
      <c r="E179" s="50"/>
      <c r="F179" s="50"/>
      <c r="G179" s="280"/>
      <c r="H179" s="293"/>
      <c r="I179" s="292"/>
      <c r="J179" s="292"/>
      <c r="K179" s="200"/>
      <c r="L179" s="200"/>
      <c r="M179" s="89" t="str">
        <f>IFERROR(VLOOKUP(H179,Lijsten!$H$1:$I$100,2,0),"")</f>
        <v/>
      </c>
      <c r="N179" s="89" t="str" cm="1">
        <f t="array" ref="N179">IFERROR(_xlfn.IFS(AND(LEFT(F179,6)="Arbeid",RIGHT(F179,3)&lt;&gt;"IKS"),IFERROR(VLOOKUP($G179,Tb_KostenTypen[],2,0),"tarief"),RIGHT(F179,3)="IKS","Uurtarief",LEFT(F179,6)="Arbeid","Uurtarief",AND(LEFT(F179,8)="Bijdrage",RIGHT(F179,15)="(vrijwilligers)"),"Vast tarief"),"")</f>
        <v/>
      </c>
      <c r="O179" s="90"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0"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1"/>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59"/>
      <c r="Z179" s="49"/>
      <c r="AA179" s="37" t="str" cm="1">
        <f t="array" ref="AA179">IFERROR(IF(INDEX(SubsidieTabel!$Q$1:$T$9,MATCH($F179,SubsidieTabel!$Q$1:$Q$9,0),IFERROR(MATCH(Methode_Keuze,SubsidieTabel!$Q$1:$T$1,0),2))&lt;&gt;1=TRUE,"ja",""),"")</f>
        <v/>
      </c>
    </row>
    <row r="180" spans="1:27" ht="15" customHeight="1" x14ac:dyDescent="0.25">
      <c r="A180" s="85"/>
      <c r="B180" s="217" t="str">
        <f>IF(A180&lt;&gt;"",_xlfn.MAXIFS($B$1:B179,$A$1:A179,A180)+1,"")</f>
        <v/>
      </c>
      <c r="C180" s="50"/>
      <c r="D180" s="50"/>
      <c r="E180" s="50"/>
      <c r="F180" s="50"/>
      <c r="G180" s="280"/>
      <c r="H180" s="293"/>
      <c r="I180" s="292"/>
      <c r="J180" s="292"/>
      <c r="K180" s="200"/>
      <c r="L180" s="200"/>
      <c r="M180" s="89" t="str">
        <f>IFERROR(VLOOKUP(H180,Lijsten!$H$1:$I$100,2,0),"")</f>
        <v/>
      </c>
      <c r="N180" s="89" t="str" cm="1">
        <f t="array" ref="N180">IFERROR(_xlfn.IFS(AND(LEFT(F180,6)="Arbeid",RIGHT(F180,3)&lt;&gt;"IKS"),IFERROR(VLOOKUP($G180,Tb_KostenTypen[],2,0),"tarief"),RIGHT(F180,3)="IKS","Uurtarief",LEFT(F180,6)="Arbeid","Uurtarief",AND(LEFT(F180,8)="Bijdrage",RIGHT(F180,15)="(vrijwilligers)"),"Vast tarief"),"")</f>
        <v/>
      </c>
      <c r="O180" s="90"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0"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1"/>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59"/>
      <c r="Z180" s="49"/>
      <c r="AA180" s="37" t="str" cm="1">
        <f t="array" ref="AA180">IFERROR(IF(INDEX(SubsidieTabel!$Q$1:$T$9,MATCH($F180,SubsidieTabel!$Q$1:$Q$9,0),IFERROR(MATCH(Methode_Keuze,SubsidieTabel!$Q$1:$T$1,0),2))&lt;&gt;1=TRUE,"ja",""),"")</f>
        <v/>
      </c>
    </row>
    <row r="181" spans="1:27" ht="15" customHeight="1" x14ac:dyDescent="0.25">
      <c r="A181" s="85"/>
      <c r="B181" s="217" t="str">
        <f>IF(A181&lt;&gt;"",_xlfn.MAXIFS($B$1:B180,$A$1:A180,A181)+1,"")</f>
        <v/>
      </c>
      <c r="C181" s="50"/>
      <c r="D181" s="50"/>
      <c r="E181" s="50"/>
      <c r="F181" s="50"/>
      <c r="G181" s="280"/>
      <c r="H181" s="293"/>
      <c r="I181" s="292"/>
      <c r="J181" s="292"/>
      <c r="K181" s="200"/>
      <c r="L181" s="200"/>
      <c r="M181" s="89" t="str">
        <f>IFERROR(VLOOKUP(H181,Lijsten!$H$1:$I$100,2,0),"")</f>
        <v/>
      </c>
      <c r="N181" s="89" t="str" cm="1">
        <f t="array" ref="N181">IFERROR(_xlfn.IFS(AND(LEFT(F181,6)="Arbeid",RIGHT(F181,3)&lt;&gt;"IKS"),IFERROR(VLOOKUP($G181,Tb_KostenTypen[],2,0),"tarief"),RIGHT(F181,3)="IKS","Uurtarief",LEFT(F181,6)="Arbeid","Uurtarief",AND(LEFT(F181,8)="Bijdrage",RIGHT(F181,15)="(vrijwilligers)"),"Vast tarief"),"")</f>
        <v/>
      </c>
      <c r="O181" s="90"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0"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1"/>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59"/>
      <c r="Z181" s="49"/>
      <c r="AA181" s="37" t="str" cm="1">
        <f t="array" ref="AA181">IFERROR(IF(INDEX(SubsidieTabel!$Q$1:$T$9,MATCH($F181,SubsidieTabel!$Q$1:$Q$9,0),IFERROR(MATCH(Methode_Keuze,SubsidieTabel!$Q$1:$T$1,0),2))&lt;&gt;1=TRUE,"ja",""),"")</f>
        <v/>
      </c>
    </row>
    <row r="182" spans="1:27" ht="15" customHeight="1" x14ac:dyDescent="0.25">
      <c r="A182" s="85"/>
      <c r="B182" s="217" t="str">
        <f>IF(A182&lt;&gt;"",_xlfn.MAXIFS($B$1:B181,$A$1:A181,A182)+1,"")</f>
        <v/>
      </c>
      <c r="C182" s="50"/>
      <c r="D182" s="50"/>
      <c r="E182" s="50"/>
      <c r="F182" s="50"/>
      <c r="G182" s="280"/>
      <c r="H182" s="293"/>
      <c r="I182" s="292"/>
      <c r="J182" s="292"/>
      <c r="K182" s="200"/>
      <c r="L182" s="200"/>
      <c r="M182" s="89" t="str">
        <f>IFERROR(VLOOKUP(H182,Lijsten!$H$1:$I$100,2,0),"")</f>
        <v/>
      </c>
      <c r="N182" s="89" t="str" cm="1">
        <f t="array" ref="N182">IFERROR(_xlfn.IFS(AND(LEFT(F182,6)="Arbeid",RIGHT(F182,3)&lt;&gt;"IKS"),IFERROR(VLOOKUP($G182,Tb_KostenTypen[],2,0),"tarief"),RIGHT(F182,3)="IKS","Uurtarief",LEFT(F182,6)="Arbeid","Uurtarief",AND(LEFT(F182,8)="Bijdrage",RIGHT(F182,15)="(vrijwilligers)"),"Vast tarief"),"")</f>
        <v/>
      </c>
      <c r="O182" s="90"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0"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1"/>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59"/>
      <c r="Z182" s="49"/>
      <c r="AA182" s="37" t="str" cm="1">
        <f t="array" ref="AA182">IFERROR(IF(INDEX(SubsidieTabel!$Q$1:$T$9,MATCH($F182,SubsidieTabel!$Q$1:$Q$9,0),IFERROR(MATCH(Methode_Keuze,SubsidieTabel!$Q$1:$T$1,0),2))&lt;&gt;1=TRUE,"ja",""),"")</f>
        <v/>
      </c>
    </row>
    <row r="183" spans="1:27" ht="15" customHeight="1" x14ac:dyDescent="0.25">
      <c r="A183" s="85"/>
      <c r="B183" s="217" t="str">
        <f>IF(A183&lt;&gt;"",_xlfn.MAXIFS($B$1:B182,$A$1:A182,A183)+1,"")</f>
        <v/>
      </c>
      <c r="C183" s="50"/>
      <c r="D183" s="50"/>
      <c r="E183" s="50"/>
      <c r="F183" s="50"/>
      <c r="G183" s="280"/>
      <c r="H183" s="293"/>
      <c r="I183" s="292"/>
      <c r="J183" s="292"/>
      <c r="K183" s="200"/>
      <c r="L183" s="200"/>
      <c r="M183" s="89" t="str">
        <f>IFERROR(VLOOKUP(H183,Lijsten!$H$1:$I$100,2,0),"")</f>
        <v/>
      </c>
      <c r="N183" s="89" t="str" cm="1">
        <f t="array" ref="N183">IFERROR(_xlfn.IFS(AND(LEFT(F183,6)="Arbeid",RIGHT(F183,3)&lt;&gt;"IKS"),IFERROR(VLOOKUP($G183,Tb_KostenTypen[],2,0),"tarief"),RIGHT(F183,3)="IKS","Uurtarief",LEFT(F183,6)="Arbeid","Uurtarief",AND(LEFT(F183,8)="Bijdrage",RIGHT(F183,15)="(vrijwilligers)"),"Vast tarief"),"")</f>
        <v/>
      </c>
      <c r="O183" s="90"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0"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1"/>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59"/>
      <c r="Z183" s="49"/>
      <c r="AA183" s="37" t="str" cm="1">
        <f t="array" ref="AA183">IFERROR(IF(INDEX(SubsidieTabel!$Q$1:$T$9,MATCH($F183,SubsidieTabel!$Q$1:$Q$9,0),IFERROR(MATCH(Methode_Keuze,SubsidieTabel!$Q$1:$T$1,0),2))&lt;&gt;1=TRUE,"ja",""),"")</f>
        <v/>
      </c>
    </row>
    <row r="184" spans="1:27" ht="15" customHeight="1" x14ac:dyDescent="0.25">
      <c r="A184" s="85"/>
      <c r="B184" s="217" t="str">
        <f>IF(A184&lt;&gt;"",_xlfn.MAXIFS($B$1:B183,$A$1:A183,A184)+1,"")</f>
        <v/>
      </c>
      <c r="C184" s="50"/>
      <c r="D184" s="50"/>
      <c r="E184" s="50"/>
      <c r="F184" s="50"/>
      <c r="G184" s="280"/>
      <c r="H184" s="293"/>
      <c r="I184" s="292"/>
      <c r="J184" s="292"/>
      <c r="K184" s="200"/>
      <c r="L184" s="200"/>
      <c r="M184" s="89" t="str">
        <f>IFERROR(VLOOKUP(H184,Lijsten!$H$1:$I$100,2,0),"")</f>
        <v/>
      </c>
      <c r="N184" s="89" t="str" cm="1">
        <f t="array" ref="N184">IFERROR(_xlfn.IFS(AND(LEFT(F184,6)="Arbeid",RIGHT(F184,3)&lt;&gt;"IKS"),IFERROR(VLOOKUP($G184,Tb_KostenTypen[],2,0),"tarief"),RIGHT(F184,3)="IKS","Uurtarief",LEFT(F184,6)="Arbeid","Uurtarief",AND(LEFT(F184,8)="Bijdrage",RIGHT(F184,15)="(vrijwilligers)"),"Vast tarief"),"")</f>
        <v/>
      </c>
      <c r="O184" s="90"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0"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1"/>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59"/>
      <c r="Z184" s="49"/>
      <c r="AA184" s="37" t="str" cm="1">
        <f t="array" ref="AA184">IFERROR(IF(INDEX(SubsidieTabel!$Q$1:$T$9,MATCH($F184,SubsidieTabel!$Q$1:$Q$9,0),IFERROR(MATCH(Methode_Keuze,SubsidieTabel!$Q$1:$T$1,0),2))&lt;&gt;1=TRUE,"ja",""),"")</f>
        <v/>
      </c>
    </row>
    <row r="185" spans="1:27" ht="15" customHeight="1" x14ac:dyDescent="0.25">
      <c r="A185" s="85"/>
      <c r="B185" s="217" t="str">
        <f>IF(A185&lt;&gt;"",_xlfn.MAXIFS($B$1:B184,$A$1:A184,A185)+1,"")</f>
        <v/>
      </c>
      <c r="C185" s="50"/>
      <c r="D185" s="50"/>
      <c r="E185" s="50"/>
      <c r="F185" s="50"/>
      <c r="G185" s="280"/>
      <c r="H185" s="293"/>
      <c r="I185" s="292"/>
      <c r="J185" s="292"/>
      <c r="K185" s="200"/>
      <c r="L185" s="200"/>
      <c r="M185" s="89" t="str">
        <f>IFERROR(VLOOKUP(H185,Lijsten!$H$1:$I$100,2,0),"")</f>
        <v/>
      </c>
      <c r="N185" s="89" t="str" cm="1">
        <f t="array" ref="N185">IFERROR(_xlfn.IFS(AND(LEFT(F185,6)="Arbeid",RIGHT(F185,3)&lt;&gt;"IKS"),IFERROR(VLOOKUP($G185,Tb_KostenTypen[],2,0),"tarief"),RIGHT(F185,3)="IKS","Uurtarief",LEFT(F185,6)="Arbeid","Uurtarief",AND(LEFT(F185,8)="Bijdrage",RIGHT(F185,15)="(vrijwilligers)"),"Vast tarief"),"")</f>
        <v/>
      </c>
      <c r="O185" s="90"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0"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1"/>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59"/>
      <c r="Z185" s="49"/>
      <c r="AA185" s="37" t="str" cm="1">
        <f t="array" ref="AA185">IFERROR(IF(INDEX(SubsidieTabel!$Q$1:$T$9,MATCH($F185,SubsidieTabel!$Q$1:$Q$9,0),IFERROR(MATCH(Methode_Keuze,SubsidieTabel!$Q$1:$T$1,0),2))&lt;&gt;1=TRUE,"ja",""),"")</f>
        <v/>
      </c>
    </row>
    <row r="186" spans="1:27" ht="15" customHeight="1" x14ac:dyDescent="0.25">
      <c r="A186" s="85"/>
      <c r="B186" s="217" t="str">
        <f>IF(A186&lt;&gt;"",_xlfn.MAXIFS($B$1:B185,$A$1:A185,A186)+1,"")</f>
        <v/>
      </c>
      <c r="C186" s="50"/>
      <c r="D186" s="50"/>
      <c r="E186" s="50"/>
      <c r="F186" s="50"/>
      <c r="G186" s="280"/>
      <c r="H186" s="293"/>
      <c r="I186" s="292"/>
      <c r="J186" s="292"/>
      <c r="K186" s="200"/>
      <c r="L186" s="200"/>
      <c r="M186" s="89" t="str">
        <f>IFERROR(VLOOKUP(H186,Lijsten!$H$1:$I$100,2,0),"")</f>
        <v/>
      </c>
      <c r="N186" s="89" t="str" cm="1">
        <f t="array" ref="N186">IFERROR(_xlfn.IFS(AND(LEFT(F186,6)="Arbeid",RIGHT(F186,3)&lt;&gt;"IKS"),IFERROR(VLOOKUP($G186,Tb_KostenTypen[],2,0),"tarief"),RIGHT(F186,3)="IKS","Uurtarief",LEFT(F186,6)="Arbeid","Uurtarief",AND(LEFT(F186,8)="Bijdrage",RIGHT(F186,15)="(vrijwilligers)"),"Vast tarief"),"")</f>
        <v/>
      </c>
      <c r="O186" s="90"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0"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1"/>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59"/>
      <c r="Z186" s="49"/>
      <c r="AA186" s="37" t="str" cm="1">
        <f t="array" ref="AA186">IFERROR(IF(INDEX(SubsidieTabel!$Q$1:$T$9,MATCH($F186,SubsidieTabel!$Q$1:$Q$9,0),IFERROR(MATCH(Methode_Keuze,SubsidieTabel!$Q$1:$T$1,0),2))&lt;&gt;1=TRUE,"ja",""),"")</f>
        <v/>
      </c>
    </row>
    <row r="187" spans="1:27" ht="15" customHeight="1" x14ac:dyDescent="0.25">
      <c r="A187" s="85"/>
      <c r="B187" s="217" t="str">
        <f>IF(A187&lt;&gt;"",_xlfn.MAXIFS($B$1:B186,$A$1:A186,A187)+1,"")</f>
        <v/>
      </c>
      <c r="C187" s="50"/>
      <c r="D187" s="50"/>
      <c r="E187" s="50"/>
      <c r="F187" s="50"/>
      <c r="G187" s="280"/>
      <c r="H187" s="293"/>
      <c r="I187" s="292"/>
      <c r="J187" s="292"/>
      <c r="K187" s="200"/>
      <c r="L187" s="200"/>
      <c r="M187" s="89" t="str">
        <f>IFERROR(VLOOKUP(H187,Lijsten!$H$1:$I$100,2,0),"")</f>
        <v/>
      </c>
      <c r="N187" s="89" t="str" cm="1">
        <f t="array" ref="N187">IFERROR(_xlfn.IFS(AND(LEFT(F187,6)="Arbeid",RIGHT(F187,3)&lt;&gt;"IKS"),IFERROR(VLOOKUP($G187,Tb_KostenTypen[],2,0),"tarief"),RIGHT(F187,3)="IKS","Uurtarief",LEFT(F187,6)="Arbeid","Uurtarief",AND(LEFT(F187,8)="Bijdrage",RIGHT(F187,15)="(vrijwilligers)"),"Vast tarief"),"")</f>
        <v/>
      </c>
      <c r="O187" s="90"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0"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1"/>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59"/>
      <c r="Z187" s="49"/>
      <c r="AA187" s="37" t="str" cm="1">
        <f t="array" ref="AA187">IFERROR(IF(INDEX(SubsidieTabel!$Q$1:$T$9,MATCH($F187,SubsidieTabel!$Q$1:$Q$9,0),IFERROR(MATCH(Methode_Keuze,SubsidieTabel!$Q$1:$T$1,0),2))&lt;&gt;1=TRUE,"ja",""),"")</f>
        <v/>
      </c>
    </row>
    <row r="188" spans="1:27" ht="15" customHeight="1" x14ac:dyDescent="0.25">
      <c r="A188" s="85"/>
      <c r="B188" s="217" t="str">
        <f>IF(A188&lt;&gt;"",_xlfn.MAXIFS($B$1:B187,$A$1:A187,A188)+1,"")</f>
        <v/>
      </c>
      <c r="C188" s="50"/>
      <c r="D188" s="50"/>
      <c r="E188" s="50"/>
      <c r="F188" s="50"/>
      <c r="G188" s="280"/>
      <c r="H188" s="293"/>
      <c r="I188" s="292"/>
      <c r="J188" s="292"/>
      <c r="K188" s="200"/>
      <c r="L188" s="200"/>
      <c r="M188" s="89" t="str">
        <f>IFERROR(VLOOKUP(H188,Lijsten!$H$1:$I$100,2,0),"")</f>
        <v/>
      </c>
      <c r="N188" s="89" t="str" cm="1">
        <f t="array" ref="N188">IFERROR(_xlfn.IFS(AND(LEFT(F188,6)="Arbeid",RIGHT(F188,3)&lt;&gt;"IKS"),IFERROR(VLOOKUP($G188,Tb_KostenTypen[],2,0),"tarief"),RIGHT(F188,3)="IKS","Uurtarief",LEFT(F188,6)="Arbeid","Uurtarief",AND(LEFT(F188,8)="Bijdrage",RIGHT(F188,15)="(vrijwilligers)"),"Vast tarief"),"")</f>
        <v/>
      </c>
      <c r="O188" s="90"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0"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1"/>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59"/>
      <c r="Z188" s="49"/>
      <c r="AA188" s="37" t="str" cm="1">
        <f t="array" ref="AA188">IFERROR(IF(INDEX(SubsidieTabel!$Q$1:$T$9,MATCH($F188,SubsidieTabel!$Q$1:$Q$9,0),IFERROR(MATCH(Methode_Keuze,SubsidieTabel!$Q$1:$T$1,0),2))&lt;&gt;1=TRUE,"ja",""),"")</f>
        <v/>
      </c>
    </row>
    <row r="189" spans="1:27" ht="15" customHeight="1" x14ac:dyDescent="0.25">
      <c r="A189" s="85"/>
      <c r="B189" s="217" t="str">
        <f>IF(A189&lt;&gt;"",_xlfn.MAXIFS($B$1:B188,$A$1:A188,A189)+1,"")</f>
        <v/>
      </c>
      <c r="C189" s="50"/>
      <c r="D189" s="50"/>
      <c r="E189" s="50"/>
      <c r="F189" s="50"/>
      <c r="G189" s="280"/>
      <c r="H189" s="293"/>
      <c r="I189" s="292"/>
      <c r="J189" s="292"/>
      <c r="K189" s="200"/>
      <c r="L189" s="200"/>
      <c r="M189" s="89" t="str">
        <f>IFERROR(VLOOKUP(H189,Lijsten!$H$1:$I$100,2,0),"")</f>
        <v/>
      </c>
      <c r="N189" s="89" t="str" cm="1">
        <f t="array" ref="N189">IFERROR(_xlfn.IFS(AND(LEFT(F189,6)="Arbeid",RIGHT(F189,3)&lt;&gt;"IKS"),IFERROR(VLOOKUP($G189,Tb_KostenTypen[],2,0),"tarief"),RIGHT(F189,3)="IKS","Uurtarief",LEFT(F189,6)="Arbeid","Uurtarief",AND(LEFT(F189,8)="Bijdrage",RIGHT(F189,15)="(vrijwilligers)"),"Vast tarief"),"")</f>
        <v/>
      </c>
      <c r="O189" s="90"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0"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1"/>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59"/>
      <c r="Z189" s="49"/>
      <c r="AA189" s="37" t="str" cm="1">
        <f t="array" ref="AA189">IFERROR(IF(INDEX(SubsidieTabel!$Q$1:$T$9,MATCH($F189,SubsidieTabel!$Q$1:$Q$9,0),IFERROR(MATCH(Methode_Keuze,SubsidieTabel!$Q$1:$T$1,0),2))&lt;&gt;1=TRUE,"ja",""),"")</f>
        <v/>
      </c>
    </row>
    <row r="190" spans="1:27" ht="15" customHeight="1" x14ac:dyDescent="0.25">
      <c r="A190" s="85"/>
      <c r="B190" s="217" t="str">
        <f>IF(A190&lt;&gt;"",_xlfn.MAXIFS($B$1:B189,$A$1:A189,A190)+1,"")</f>
        <v/>
      </c>
      <c r="C190" s="50"/>
      <c r="D190" s="50"/>
      <c r="E190" s="50"/>
      <c r="F190" s="50"/>
      <c r="G190" s="280"/>
      <c r="H190" s="293"/>
      <c r="I190" s="292"/>
      <c r="J190" s="292"/>
      <c r="K190" s="200"/>
      <c r="L190" s="200"/>
      <c r="M190" s="89" t="str">
        <f>IFERROR(VLOOKUP(H190,Lijsten!$H$1:$I$100,2,0),"")</f>
        <v/>
      </c>
      <c r="N190" s="89" t="str" cm="1">
        <f t="array" ref="N190">IFERROR(_xlfn.IFS(AND(LEFT(F190,6)="Arbeid",RIGHT(F190,3)&lt;&gt;"IKS"),IFERROR(VLOOKUP($G190,Tb_KostenTypen[],2,0),"tarief"),RIGHT(F190,3)="IKS","Uurtarief",LEFT(F190,6)="Arbeid","Uurtarief",AND(LEFT(F190,8)="Bijdrage",RIGHT(F190,15)="(vrijwilligers)"),"Vast tarief"),"")</f>
        <v/>
      </c>
      <c r="O190" s="90"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0"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1"/>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59"/>
      <c r="Z190" s="49"/>
      <c r="AA190" s="37" t="str" cm="1">
        <f t="array" ref="AA190">IFERROR(IF(INDEX(SubsidieTabel!$Q$1:$T$9,MATCH($F190,SubsidieTabel!$Q$1:$Q$9,0),IFERROR(MATCH(Methode_Keuze,SubsidieTabel!$Q$1:$T$1,0),2))&lt;&gt;1=TRUE,"ja",""),"")</f>
        <v/>
      </c>
    </row>
    <row r="191" spans="1:27" ht="15" customHeight="1" x14ac:dyDescent="0.25">
      <c r="A191" s="85"/>
      <c r="B191" s="217" t="str">
        <f>IF(A191&lt;&gt;"",_xlfn.MAXIFS($B$1:B190,$A$1:A190,A191)+1,"")</f>
        <v/>
      </c>
      <c r="C191" s="50"/>
      <c r="D191" s="50"/>
      <c r="E191" s="50"/>
      <c r="F191" s="50"/>
      <c r="G191" s="280"/>
      <c r="H191" s="293"/>
      <c r="I191" s="292"/>
      <c r="J191" s="292"/>
      <c r="K191" s="200"/>
      <c r="L191" s="200"/>
      <c r="M191" s="89" t="str">
        <f>IFERROR(VLOOKUP(H191,Lijsten!$H$1:$I$100,2,0),"")</f>
        <v/>
      </c>
      <c r="N191" s="89" t="str" cm="1">
        <f t="array" ref="N191">IFERROR(_xlfn.IFS(AND(LEFT(F191,6)="Arbeid",RIGHT(F191,3)&lt;&gt;"IKS"),IFERROR(VLOOKUP($G191,Tb_KostenTypen[],2,0),"tarief"),RIGHT(F191,3)="IKS","Uurtarief",LEFT(F191,6)="Arbeid","Uurtarief",AND(LEFT(F191,8)="Bijdrage",RIGHT(F191,15)="(vrijwilligers)"),"Vast tarief"),"")</f>
        <v/>
      </c>
      <c r="O191" s="90"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0"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1"/>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59"/>
      <c r="Z191" s="49"/>
      <c r="AA191" s="37" t="str" cm="1">
        <f t="array" ref="AA191">IFERROR(IF(INDEX(SubsidieTabel!$Q$1:$T$9,MATCH($F191,SubsidieTabel!$Q$1:$Q$9,0),IFERROR(MATCH(Methode_Keuze,SubsidieTabel!$Q$1:$T$1,0),2))&lt;&gt;1=TRUE,"ja",""),"")</f>
        <v/>
      </c>
    </row>
    <row r="192" spans="1:27" ht="15" customHeight="1" x14ac:dyDescent="0.25">
      <c r="A192" s="85"/>
      <c r="B192" s="217" t="str">
        <f>IF(A192&lt;&gt;"",_xlfn.MAXIFS($B$1:B191,$A$1:A191,A192)+1,"")</f>
        <v/>
      </c>
      <c r="C192" s="50"/>
      <c r="D192" s="50"/>
      <c r="E192" s="50"/>
      <c r="F192" s="50"/>
      <c r="G192" s="280"/>
      <c r="H192" s="293"/>
      <c r="I192" s="292"/>
      <c r="J192" s="292"/>
      <c r="K192" s="200"/>
      <c r="L192" s="200"/>
      <c r="M192" s="89" t="str">
        <f>IFERROR(VLOOKUP(H192,Lijsten!$H$1:$I$100,2,0),"")</f>
        <v/>
      </c>
      <c r="N192" s="89" t="str" cm="1">
        <f t="array" ref="N192">IFERROR(_xlfn.IFS(AND(LEFT(F192,6)="Arbeid",RIGHT(F192,3)&lt;&gt;"IKS"),IFERROR(VLOOKUP($G192,Tb_KostenTypen[],2,0),"tarief"),RIGHT(F192,3)="IKS","Uurtarief",LEFT(F192,6)="Arbeid","Uurtarief",AND(LEFT(F192,8)="Bijdrage",RIGHT(F192,15)="(vrijwilligers)"),"Vast tarief"),"")</f>
        <v/>
      </c>
      <c r="O192" s="90"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0"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1"/>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59"/>
      <c r="Z192" s="49"/>
      <c r="AA192" s="37" t="str" cm="1">
        <f t="array" ref="AA192">IFERROR(IF(INDEX(SubsidieTabel!$Q$1:$T$9,MATCH($F192,SubsidieTabel!$Q$1:$Q$9,0),IFERROR(MATCH(Methode_Keuze,SubsidieTabel!$Q$1:$T$1,0),2))&lt;&gt;1=TRUE,"ja",""),"")</f>
        <v/>
      </c>
    </row>
    <row r="193" spans="1:27" ht="15" customHeight="1" x14ac:dyDescent="0.25">
      <c r="A193" s="85"/>
      <c r="B193" s="217" t="str">
        <f>IF(A193&lt;&gt;"",_xlfn.MAXIFS($B$1:B192,$A$1:A192,A193)+1,"")</f>
        <v/>
      </c>
      <c r="C193" s="50"/>
      <c r="D193" s="50"/>
      <c r="E193" s="50"/>
      <c r="F193" s="50"/>
      <c r="G193" s="280"/>
      <c r="H193" s="293"/>
      <c r="I193" s="292"/>
      <c r="J193" s="292"/>
      <c r="K193" s="200"/>
      <c r="L193" s="200"/>
      <c r="M193" s="89" t="str">
        <f>IFERROR(VLOOKUP(H193,Lijsten!$H$1:$I$100,2,0),"")</f>
        <v/>
      </c>
      <c r="N193" s="89" t="str" cm="1">
        <f t="array" ref="N193">IFERROR(_xlfn.IFS(AND(LEFT(F193,6)="Arbeid",RIGHT(F193,3)&lt;&gt;"IKS"),IFERROR(VLOOKUP($G193,Tb_KostenTypen[],2,0),"tarief"),RIGHT(F193,3)="IKS","Uurtarief",LEFT(F193,6)="Arbeid","Uurtarief",AND(LEFT(F193,8)="Bijdrage",RIGHT(F193,15)="(vrijwilligers)"),"Vast tarief"),"")</f>
        <v/>
      </c>
      <c r="O193" s="90"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0"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1"/>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59"/>
      <c r="Z193" s="49"/>
      <c r="AA193" s="37" t="str" cm="1">
        <f t="array" ref="AA193">IFERROR(IF(INDEX(SubsidieTabel!$Q$1:$T$9,MATCH($F193,SubsidieTabel!$Q$1:$Q$9,0),IFERROR(MATCH(Methode_Keuze,SubsidieTabel!$Q$1:$T$1,0),2))&lt;&gt;1=TRUE,"ja",""),"")</f>
        <v/>
      </c>
    </row>
    <row r="194" spans="1:27" ht="15" customHeight="1" x14ac:dyDescent="0.25">
      <c r="A194" s="85"/>
      <c r="B194" s="217" t="str">
        <f>IF(A194&lt;&gt;"",_xlfn.MAXIFS($B$1:B193,$A$1:A193,A194)+1,"")</f>
        <v/>
      </c>
      <c r="C194" s="50"/>
      <c r="D194" s="50"/>
      <c r="E194" s="50"/>
      <c r="F194" s="50"/>
      <c r="G194" s="280"/>
      <c r="H194" s="293"/>
      <c r="I194" s="292"/>
      <c r="J194" s="292"/>
      <c r="K194" s="200"/>
      <c r="L194" s="200"/>
      <c r="M194" s="89" t="str">
        <f>IFERROR(VLOOKUP(H194,Lijsten!$H$1:$I$100,2,0),"")</f>
        <v/>
      </c>
      <c r="N194" s="89" t="str" cm="1">
        <f t="array" ref="N194">IFERROR(_xlfn.IFS(AND(LEFT(F194,6)="Arbeid",RIGHT(F194,3)&lt;&gt;"IKS"),IFERROR(VLOOKUP($G194,Tb_KostenTypen[],2,0),"tarief"),RIGHT(F194,3)="IKS","Uurtarief",LEFT(F194,6)="Arbeid","Uurtarief",AND(LEFT(F194,8)="Bijdrage",RIGHT(F194,15)="(vrijwilligers)"),"Vast tarief"),"")</f>
        <v/>
      </c>
      <c r="O194" s="90"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0"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1"/>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59"/>
      <c r="Z194" s="49"/>
      <c r="AA194" s="37" t="str" cm="1">
        <f t="array" ref="AA194">IFERROR(IF(INDEX(SubsidieTabel!$Q$1:$T$9,MATCH($F194,SubsidieTabel!$Q$1:$Q$9,0),IFERROR(MATCH(Methode_Keuze,SubsidieTabel!$Q$1:$T$1,0),2))&lt;&gt;1=TRUE,"ja",""),"")</f>
        <v/>
      </c>
    </row>
    <row r="195" spans="1:27" ht="15" customHeight="1" x14ac:dyDescent="0.25">
      <c r="A195" s="85"/>
      <c r="B195" s="217" t="str">
        <f>IF(A195&lt;&gt;"",_xlfn.MAXIFS($B$1:B194,$A$1:A194,A195)+1,"")</f>
        <v/>
      </c>
      <c r="C195" s="50"/>
      <c r="D195" s="50"/>
      <c r="E195" s="50"/>
      <c r="F195" s="50"/>
      <c r="G195" s="280"/>
      <c r="H195" s="293"/>
      <c r="I195" s="292"/>
      <c r="J195" s="292"/>
      <c r="K195" s="200"/>
      <c r="L195" s="200"/>
      <c r="M195" s="89" t="str">
        <f>IFERROR(VLOOKUP(H195,Lijsten!$H$1:$I$100,2,0),"")</f>
        <v/>
      </c>
      <c r="N195" s="89" t="str" cm="1">
        <f t="array" ref="N195">IFERROR(_xlfn.IFS(AND(LEFT(F195,6)="Arbeid",RIGHT(F195,3)&lt;&gt;"IKS"),IFERROR(VLOOKUP($G195,Tb_KostenTypen[],2,0),"tarief"),RIGHT(F195,3)="IKS","Uurtarief",LEFT(F195,6)="Arbeid","Uurtarief",AND(LEFT(F195,8)="Bijdrage",RIGHT(F195,15)="(vrijwilligers)"),"Vast tarief"),"")</f>
        <v/>
      </c>
      <c r="O195" s="90"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0"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1"/>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59"/>
      <c r="Z195" s="49"/>
      <c r="AA195" s="37" t="str" cm="1">
        <f t="array" ref="AA195">IFERROR(IF(INDEX(SubsidieTabel!$Q$1:$T$9,MATCH($F195,SubsidieTabel!$Q$1:$Q$9,0),IFERROR(MATCH(Methode_Keuze,SubsidieTabel!$Q$1:$T$1,0),2))&lt;&gt;1=TRUE,"ja",""),"")</f>
        <v/>
      </c>
    </row>
    <row r="196" spans="1:27" ht="15" customHeight="1" x14ac:dyDescent="0.25">
      <c r="A196" s="85"/>
      <c r="B196" s="217" t="str">
        <f>IF(A196&lt;&gt;"",_xlfn.MAXIFS($B$1:B195,$A$1:A195,A196)+1,"")</f>
        <v/>
      </c>
      <c r="C196" s="50"/>
      <c r="D196" s="50"/>
      <c r="E196" s="50"/>
      <c r="F196" s="50"/>
      <c r="G196" s="280"/>
      <c r="H196" s="293"/>
      <c r="I196" s="292"/>
      <c r="J196" s="292"/>
      <c r="K196" s="200"/>
      <c r="L196" s="200"/>
      <c r="M196" s="89" t="str">
        <f>IFERROR(VLOOKUP(H196,Lijsten!$H$1:$I$100,2,0),"")</f>
        <v/>
      </c>
      <c r="N196" s="89" t="str" cm="1">
        <f t="array" ref="N196">IFERROR(_xlfn.IFS(AND(LEFT(F196,6)="Arbeid",RIGHT(F196,3)&lt;&gt;"IKS"),IFERROR(VLOOKUP($G196,Tb_KostenTypen[],2,0),"tarief"),RIGHT(F196,3)="IKS","Uurtarief",LEFT(F196,6)="Arbeid","Uurtarief",AND(LEFT(F196,8)="Bijdrage",RIGHT(F196,15)="(vrijwilligers)"),"Vast tarief"),"")</f>
        <v/>
      </c>
      <c r="O196" s="90"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0"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1"/>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59"/>
      <c r="Z196" s="49"/>
      <c r="AA196" s="37" t="str" cm="1">
        <f t="array" ref="AA196">IFERROR(IF(INDEX(SubsidieTabel!$Q$1:$T$9,MATCH($F196,SubsidieTabel!$Q$1:$Q$9,0),IFERROR(MATCH(Methode_Keuze,SubsidieTabel!$Q$1:$T$1,0),2))&lt;&gt;1=TRUE,"ja",""),"")</f>
        <v/>
      </c>
    </row>
    <row r="197" spans="1:27" ht="15" customHeight="1" x14ac:dyDescent="0.25">
      <c r="A197" s="85"/>
      <c r="B197" s="217" t="str">
        <f>IF(A197&lt;&gt;"",_xlfn.MAXIFS($B$1:B196,$A$1:A196,A197)+1,"")</f>
        <v/>
      </c>
      <c r="C197" s="50"/>
      <c r="D197" s="50"/>
      <c r="E197" s="50"/>
      <c r="F197" s="50"/>
      <c r="G197" s="280"/>
      <c r="H197" s="293"/>
      <c r="I197" s="292"/>
      <c r="J197" s="292"/>
      <c r="K197" s="200"/>
      <c r="L197" s="200"/>
      <c r="M197" s="89" t="str">
        <f>IFERROR(VLOOKUP(H197,Lijsten!$H$1:$I$100,2,0),"")</f>
        <v/>
      </c>
      <c r="N197" s="89" t="str" cm="1">
        <f t="array" ref="N197">IFERROR(_xlfn.IFS(AND(LEFT(F197,6)="Arbeid",RIGHT(F197,3)&lt;&gt;"IKS"),IFERROR(VLOOKUP($G197,Tb_KostenTypen[],2,0),"tarief"),RIGHT(F197,3)="IKS","Uurtarief",LEFT(F197,6)="Arbeid","Uurtarief",AND(LEFT(F197,8)="Bijdrage",RIGHT(F197,15)="(vrijwilligers)"),"Vast tarief"),"")</f>
        <v/>
      </c>
      <c r="O197" s="90"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0"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1"/>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59"/>
      <c r="Z197" s="49"/>
      <c r="AA197" s="37" t="str" cm="1">
        <f t="array" ref="AA197">IFERROR(IF(INDEX(SubsidieTabel!$Q$1:$T$9,MATCH($F197,SubsidieTabel!$Q$1:$Q$9,0),IFERROR(MATCH(Methode_Keuze,SubsidieTabel!$Q$1:$T$1,0),2))&lt;&gt;1=TRUE,"ja",""),"")</f>
        <v/>
      </c>
    </row>
    <row r="198" spans="1:27" ht="15" customHeight="1" x14ac:dyDescent="0.25">
      <c r="A198" s="85"/>
      <c r="B198" s="217" t="str">
        <f>IF(A198&lt;&gt;"",_xlfn.MAXIFS($B$1:B197,$A$1:A197,A198)+1,"")</f>
        <v/>
      </c>
      <c r="C198" s="50"/>
      <c r="D198" s="50"/>
      <c r="E198" s="50"/>
      <c r="F198" s="50"/>
      <c r="G198" s="280"/>
      <c r="H198" s="293"/>
      <c r="I198" s="292"/>
      <c r="J198" s="292"/>
      <c r="K198" s="200"/>
      <c r="L198" s="200"/>
      <c r="M198" s="89" t="str">
        <f>IFERROR(VLOOKUP(H198,Lijsten!$H$1:$I$100,2,0),"")</f>
        <v/>
      </c>
      <c r="N198" s="89" t="str" cm="1">
        <f t="array" ref="N198">IFERROR(_xlfn.IFS(AND(LEFT(F198,6)="Arbeid",RIGHT(F198,3)&lt;&gt;"IKS"),IFERROR(VLOOKUP($G198,Tb_KostenTypen[],2,0),"tarief"),RIGHT(F198,3)="IKS","Uurtarief",LEFT(F198,6)="Arbeid","Uurtarief",AND(LEFT(F198,8)="Bijdrage",RIGHT(F198,15)="(vrijwilligers)"),"Vast tarief"),"")</f>
        <v/>
      </c>
      <c r="O198" s="90"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0"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1"/>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59"/>
      <c r="Z198" s="49"/>
      <c r="AA198" s="37" t="str" cm="1">
        <f t="array" ref="AA198">IFERROR(IF(INDEX(SubsidieTabel!$Q$1:$T$9,MATCH($F198,SubsidieTabel!$Q$1:$Q$9,0),IFERROR(MATCH(Methode_Keuze,SubsidieTabel!$Q$1:$T$1,0),2))&lt;&gt;1=TRUE,"ja",""),"")</f>
        <v/>
      </c>
    </row>
    <row r="199" spans="1:27" ht="15" customHeight="1" x14ac:dyDescent="0.25">
      <c r="A199" s="85"/>
      <c r="B199" s="217" t="str">
        <f>IF(A199&lt;&gt;"",_xlfn.MAXIFS($B$1:B198,$A$1:A198,A199)+1,"")</f>
        <v/>
      </c>
      <c r="C199" s="50"/>
      <c r="D199" s="50"/>
      <c r="E199" s="50"/>
      <c r="F199" s="50"/>
      <c r="G199" s="280"/>
      <c r="H199" s="293"/>
      <c r="I199" s="292"/>
      <c r="J199" s="292"/>
      <c r="K199" s="200"/>
      <c r="L199" s="200"/>
      <c r="M199" s="89" t="str">
        <f>IFERROR(VLOOKUP(H199,Lijsten!$H$1:$I$100,2,0),"")</f>
        <v/>
      </c>
      <c r="N199" s="89" t="str" cm="1">
        <f t="array" ref="N199">IFERROR(_xlfn.IFS(AND(LEFT(F199,6)="Arbeid",RIGHT(F199,3)&lt;&gt;"IKS"),IFERROR(VLOOKUP($G199,Tb_KostenTypen[],2,0),"tarief"),RIGHT(F199,3)="IKS","Uurtarief",LEFT(F199,6)="Arbeid","Uurtarief",AND(LEFT(F199,8)="Bijdrage",RIGHT(F199,15)="(vrijwilligers)"),"Vast tarief"),"")</f>
        <v/>
      </c>
      <c r="O199" s="90"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0"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1"/>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59"/>
      <c r="Z199" s="49"/>
      <c r="AA199" s="37" t="str" cm="1">
        <f t="array" ref="AA199">IFERROR(IF(INDEX(SubsidieTabel!$Q$1:$T$9,MATCH($F199,SubsidieTabel!$Q$1:$Q$9,0),IFERROR(MATCH(Methode_Keuze,SubsidieTabel!$Q$1:$T$1,0),2))&lt;&gt;1=TRUE,"ja",""),"")</f>
        <v/>
      </c>
    </row>
    <row r="200" spans="1:27" ht="15" customHeight="1" x14ac:dyDescent="0.25">
      <c r="A200" s="85"/>
      <c r="B200" s="217" t="str">
        <f>IF(A200&lt;&gt;"",_xlfn.MAXIFS($B$1:B199,$A$1:A199,A200)+1,"")</f>
        <v/>
      </c>
      <c r="C200" s="50"/>
      <c r="D200" s="50"/>
      <c r="E200" s="50"/>
      <c r="F200" s="50"/>
      <c r="G200" s="280"/>
      <c r="H200" s="293"/>
      <c r="I200" s="292"/>
      <c r="J200" s="292"/>
      <c r="K200" s="200"/>
      <c r="L200" s="200"/>
      <c r="M200" s="89" t="str">
        <f>IFERROR(VLOOKUP(H200,Lijsten!$H$1:$I$100,2,0),"")</f>
        <v/>
      </c>
      <c r="N200" s="89" t="str" cm="1">
        <f t="array" ref="N200">IFERROR(_xlfn.IFS(AND(LEFT(F200,6)="Arbeid",RIGHT(F200,3)&lt;&gt;"IKS"),IFERROR(VLOOKUP($G200,Tb_KostenTypen[],2,0),"tarief"),RIGHT(F200,3)="IKS","Uurtarief",LEFT(F200,6)="Arbeid","Uurtarief",AND(LEFT(F200,8)="Bijdrage",RIGHT(F200,15)="(vrijwilligers)"),"Vast tarief"),"")</f>
        <v/>
      </c>
      <c r="O200" s="90"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0"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1"/>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59"/>
      <c r="Z200" s="49"/>
      <c r="AA200" s="37" t="str" cm="1">
        <f t="array" ref="AA200">IFERROR(IF(INDEX(SubsidieTabel!$Q$1:$T$9,MATCH($F200,SubsidieTabel!$Q$1:$Q$9,0),IFERROR(MATCH(Methode_Keuze,SubsidieTabel!$Q$1:$T$1,0),2))&lt;&gt;1=TRUE,"ja",""),"")</f>
        <v/>
      </c>
    </row>
    <row r="201" spans="1:27" ht="15" customHeight="1" x14ac:dyDescent="0.25">
      <c r="A201" s="85"/>
      <c r="B201" s="217" t="str">
        <f>IF(A201&lt;&gt;"",_xlfn.MAXIFS($B$1:B200,$A$1:A200,A201)+1,"")</f>
        <v/>
      </c>
      <c r="C201" s="50"/>
      <c r="D201" s="50"/>
      <c r="E201" s="50"/>
      <c r="F201" s="50"/>
      <c r="G201" s="280"/>
      <c r="H201" s="293"/>
      <c r="I201" s="292"/>
      <c r="J201" s="292"/>
      <c r="K201" s="200"/>
      <c r="L201" s="200"/>
      <c r="M201" s="89" t="str">
        <f>IFERROR(VLOOKUP(H201,Lijsten!$H$1:$I$100,2,0),"")</f>
        <v/>
      </c>
      <c r="N201" s="89" t="str" cm="1">
        <f t="array" ref="N201">IFERROR(_xlfn.IFS(AND(LEFT(F201,6)="Arbeid",RIGHT(F201,3)&lt;&gt;"IKS"),IFERROR(VLOOKUP($G201,Tb_KostenTypen[],2,0),"tarief"),RIGHT(F201,3)="IKS","Uurtarief",LEFT(F201,6)="Arbeid","Uurtarief",AND(LEFT(F201,8)="Bijdrage",RIGHT(F201,15)="(vrijwilligers)"),"Vast tarief"),"")</f>
        <v/>
      </c>
      <c r="O201" s="90"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0"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1"/>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59"/>
      <c r="Z201" s="49"/>
      <c r="AA201" s="37" t="str" cm="1">
        <f t="array" ref="AA201">IFERROR(IF(INDEX(SubsidieTabel!$Q$1:$T$9,MATCH($F201,SubsidieTabel!$Q$1:$Q$9,0),IFERROR(MATCH(Methode_Keuze,SubsidieTabel!$Q$1:$T$1,0),2))&lt;&gt;1=TRUE,"ja",""),"")</f>
        <v/>
      </c>
    </row>
    <row r="202" spans="1:27" ht="15" customHeight="1" x14ac:dyDescent="0.25">
      <c r="A202" s="85"/>
      <c r="B202" s="217" t="str">
        <f>IF(A202&lt;&gt;"",_xlfn.MAXIFS($B$1:B201,$A$1:A201,A202)+1,"")</f>
        <v/>
      </c>
      <c r="C202" s="50"/>
      <c r="D202" s="50"/>
      <c r="E202" s="50"/>
      <c r="F202" s="50"/>
      <c r="G202" s="280"/>
      <c r="H202" s="293"/>
      <c r="I202" s="292"/>
      <c r="J202" s="292"/>
      <c r="K202" s="200"/>
      <c r="L202" s="200"/>
      <c r="M202" s="89" t="str">
        <f>IFERROR(VLOOKUP(H202,Lijsten!$H$1:$I$100,2,0),"")</f>
        <v/>
      </c>
      <c r="N202" s="89" t="str" cm="1">
        <f t="array" ref="N202">IFERROR(_xlfn.IFS(AND(LEFT(F202,6)="Arbeid",RIGHT(F202,3)&lt;&gt;"IKS"),IFERROR(VLOOKUP($G202,Tb_KostenTypen[],2,0),"tarief"),RIGHT(F202,3)="IKS","Uurtarief",LEFT(F202,6)="Arbeid","Uurtarief",AND(LEFT(F202,8)="Bijdrage",RIGHT(F202,15)="(vrijwilligers)"),"Vast tarief"),"")</f>
        <v/>
      </c>
      <c r="O202" s="90"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0"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1"/>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59"/>
      <c r="Z202" s="49"/>
      <c r="AA202" s="37" t="str" cm="1">
        <f t="array" ref="AA202">IFERROR(IF(INDEX(SubsidieTabel!$Q$1:$T$9,MATCH($F202,SubsidieTabel!$Q$1:$Q$9,0),IFERROR(MATCH(Methode_Keuze,SubsidieTabel!$Q$1:$T$1,0),2))&lt;&gt;1=TRUE,"ja",""),"")</f>
        <v/>
      </c>
    </row>
    <row r="203" spans="1:27" ht="15" customHeight="1" x14ac:dyDescent="0.25">
      <c r="A203" s="85"/>
      <c r="B203" s="217" t="str">
        <f>IF(A203&lt;&gt;"",_xlfn.MAXIFS($B$1:B202,$A$1:A202,A203)+1,"")</f>
        <v/>
      </c>
      <c r="C203" s="50"/>
      <c r="D203" s="50"/>
      <c r="E203" s="50"/>
      <c r="F203" s="50"/>
      <c r="G203" s="280"/>
      <c r="H203" s="293"/>
      <c r="I203" s="292"/>
      <c r="J203" s="292"/>
      <c r="K203" s="200"/>
      <c r="L203" s="200"/>
      <c r="M203" s="89" t="str">
        <f>IFERROR(VLOOKUP(H203,Lijsten!$H$1:$I$100,2,0),"")</f>
        <v/>
      </c>
      <c r="N203" s="89" t="str" cm="1">
        <f t="array" ref="N203">IFERROR(_xlfn.IFS(AND(LEFT(F203,6)="Arbeid",RIGHT(F203,3)&lt;&gt;"IKS"),IFERROR(VLOOKUP($G203,Tb_KostenTypen[],2,0),"tarief"),RIGHT(F203,3)="IKS","Uurtarief",LEFT(F203,6)="Arbeid","Uurtarief",AND(LEFT(F203,8)="Bijdrage",RIGHT(F203,15)="(vrijwilligers)"),"Vast tarief"),"")</f>
        <v/>
      </c>
      <c r="O203" s="90"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0"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1"/>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59"/>
      <c r="Z203" s="49"/>
      <c r="AA203" s="37" t="str" cm="1">
        <f t="array" ref="AA203">IFERROR(IF(INDEX(SubsidieTabel!$Q$1:$T$9,MATCH($F203,SubsidieTabel!$Q$1:$Q$9,0),IFERROR(MATCH(Methode_Keuze,SubsidieTabel!$Q$1:$T$1,0),2))&lt;&gt;1=TRUE,"ja",""),"")</f>
        <v/>
      </c>
    </row>
    <row r="204" spans="1:27" ht="15" customHeight="1" x14ac:dyDescent="0.25">
      <c r="A204" s="85"/>
      <c r="B204" s="217" t="str">
        <f>IF(A204&lt;&gt;"",_xlfn.MAXIFS($B$1:B203,$A$1:A203,A204)+1,"")</f>
        <v/>
      </c>
      <c r="C204" s="50"/>
      <c r="D204" s="50"/>
      <c r="E204" s="50"/>
      <c r="F204" s="50"/>
      <c r="G204" s="280"/>
      <c r="H204" s="293"/>
      <c r="I204" s="292"/>
      <c r="J204" s="292"/>
      <c r="K204" s="200"/>
      <c r="L204" s="200"/>
      <c r="M204" s="89" t="str">
        <f>IFERROR(VLOOKUP(H204,Lijsten!$H$1:$I$100,2,0),"")</f>
        <v/>
      </c>
      <c r="N204" s="89" t="str" cm="1">
        <f t="array" ref="N204">IFERROR(_xlfn.IFS(AND(LEFT(F204,6)="Arbeid",RIGHT(F204,3)&lt;&gt;"IKS"),IFERROR(VLOOKUP($G204,Tb_KostenTypen[],2,0),"tarief"),RIGHT(F204,3)="IKS","Uurtarief",LEFT(F204,6)="Arbeid","Uurtarief",AND(LEFT(F204,8)="Bijdrage",RIGHT(F204,15)="(vrijwilligers)"),"Vast tarief"),"")</f>
        <v/>
      </c>
      <c r="O204" s="90"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0"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1"/>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59"/>
      <c r="Z204" s="49"/>
      <c r="AA204" s="37" t="str" cm="1">
        <f t="array" ref="AA204">IFERROR(IF(INDEX(SubsidieTabel!$Q$1:$T$9,MATCH($F204,SubsidieTabel!$Q$1:$Q$9,0),IFERROR(MATCH(Methode_Keuze,SubsidieTabel!$Q$1:$T$1,0),2))&lt;&gt;1=TRUE,"ja",""),"")</f>
        <v/>
      </c>
    </row>
    <row r="205" spans="1:27" ht="15" customHeight="1" x14ac:dyDescent="0.25">
      <c r="A205" s="85"/>
      <c r="B205" s="217" t="str">
        <f>IF(A205&lt;&gt;"",_xlfn.MAXIFS($B$1:B204,$A$1:A204,A205)+1,"")</f>
        <v/>
      </c>
      <c r="C205" s="50"/>
      <c r="D205" s="50"/>
      <c r="E205" s="50"/>
      <c r="F205" s="50"/>
      <c r="G205" s="280"/>
      <c r="H205" s="293"/>
      <c r="I205" s="292"/>
      <c r="J205" s="292"/>
      <c r="K205" s="200"/>
      <c r="L205" s="200"/>
      <c r="M205" s="89" t="str">
        <f>IFERROR(VLOOKUP(H205,Lijsten!$H$1:$I$100,2,0),"")</f>
        <v/>
      </c>
      <c r="N205" s="89" t="str" cm="1">
        <f t="array" ref="N205">IFERROR(_xlfn.IFS(AND(LEFT(F205,6)="Arbeid",RIGHT(F205,3)&lt;&gt;"IKS"),IFERROR(VLOOKUP($G205,Tb_KostenTypen[],2,0),"tarief"),RIGHT(F205,3)="IKS","Uurtarief",LEFT(F205,6)="Arbeid","Uurtarief",AND(LEFT(F205,8)="Bijdrage",RIGHT(F205,15)="(vrijwilligers)"),"Vast tarief"),"")</f>
        <v/>
      </c>
      <c r="O205" s="90"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0"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1"/>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59"/>
      <c r="Z205" s="49"/>
      <c r="AA205" s="37" t="str" cm="1">
        <f t="array" ref="AA205">IFERROR(IF(INDEX(SubsidieTabel!$Q$1:$T$9,MATCH($F205,SubsidieTabel!$Q$1:$Q$9,0),IFERROR(MATCH(Methode_Keuze,SubsidieTabel!$Q$1:$T$1,0),2))&lt;&gt;1=TRUE,"ja",""),"")</f>
        <v/>
      </c>
    </row>
    <row r="206" spans="1:27" ht="15" customHeight="1" x14ac:dyDescent="0.25">
      <c r="A206" s="85"/>
      <c r="B206" s="217" t="str">
        <f>IF(A206&lt;&gt;"",_xlfn.MAXIFS($B$1:B205,$A$1:A205,A206)+1,"")</f>
        <v/>
      </c>
      <c r="C206" s="50"/>
      <c r="D206" s="50"/>
      <c r="E206" s="50"/>
      <c r="F206" s="50"/>
      <c r="G206" s="280"/>
      <c r="H206" s="293"/>
      <c r="I206" s="292"/>
      <c r="J206" s="292"/>
      <c r="K206" s="200"/>
      <c r="L206" s="200"/>
      <c r="M206" s="89" t="str">
        <f>IFERROR(VLOOKUP(H206,Lijsten!$H$1:$I$100,2,0),"")</f>
        <v/>
      </c>
      <c r="N206" s="89" t="str" cm="1">
        <f t="array" ref="N206">IFERROR(_xlfn.IFS(AND(LEFT(F206,6)="Arbeid",RIGHT(F206,3)&lt;&gt;"IKS"),IFERROR(VLOOKUP($G206,Tb_KostenTypen[],2,0),"tarief"),RIGHT(F206,3)="IKS","Uurtarief",LEFT(F206,6)="Arbeid","Uurtarief",AND(LEFT(F206,8)="Bijdrage",RIGHT(F206,15)="(vrijwilligers)"),"Vast tarief"),"")</f>
        <v/>
      </c>
      <c r="O206" s="90"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0"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1"/>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59"/>
      <c r="Z206" s="49"/>
      <c r="AA206" s="37" t="str" cm="1">
        <f t="array" ref="AA206">IFERROR(IF(INDEX(SubsidieTabel!$Q$1:$T$9,MATCH($F206,SubsidieTabel!$Q$1:$Q$9,0),IFERROR(MATCH(Methode_Keuze,SubsidieTabel!$Q$1:$T$1,0),2))&lt;&gt;1=TRUE,"ja",""),"")</f>
        <v/>
      </c>
    </row>
    <row r="207" spans="1:27" ht="15" customHeight="1" x14ac:dyDescent="0.25">
      <c r="A207" s="85"/>
      <c r="B207" s="217" t="str">
        <f>IF(A207&lt;&gt;"",_xlfn.MAXIFS($B$1:B206,$A$1:A206,A207)+1,"")</f>
        <v/>
      </c>
      <c r="C207" s="50"/>
      <c r="D207" s="50"/>
      <c r="E207" s="50"/>
      <c r="F207" s="50"/>
      <c r="G207" s="280"/>
      <c r="H207" s="293"/>
      <c r="I207" s="292"/>
      <c r="J207" s="292"/>
      <c r="K207" s="200"/>
      <c r="L207" s="200"/>
      <c r="M207" s="89" t="str">
        <f>IFERROR(VLOOKUP(H207,Lijsten!$H$1:$I$100,2,0),"")</f>
        <v/>
      </c>
      <c r="N207" s="89" t="str" cm="1">
        <f t="array" ref="N207">IFERROR(_xlfn.IFS(AND(LEFT(F207,6)="Arbeid",RIGHT(F207,3)&lt;&gt;"IKS"),IFERROR(VLOOKUP($G207,Tb_KostenTypen[],2,0),"tarief"),RIGHT(F207,3)="IKS","Uurtarief",LEFT(F207,6)="Arbeid","Uurtarief",AND(LEFT(F207,8)="Bijdrage",RIGHT(F207,15)="(vrijwilligers)"),"Vast tarief"),"")</f>
        <v/>
      </c>
      <c r="O207" s="90"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0"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1"/>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59"/>
      <c r="Z207" s="49"/>
      <c r="AA207" s="37" t="str" cm="1">
        <f t="array" ref="AA207">IFERROR(IF(INDEX(SubsidieTabel!$Q$1:$T$9,MATCH($F207,SubsidieTabel!$Q$1:$Q$9,0),IFERROR(MATCH(Methode_Keuze,SubsidieTabel!$Q$1:$T$1,0),2))&lt;&gt;1=TRUE,"ja",""),"")</f>
        <v/>
      </c>
    </row>
    <row r="208" spans="1:27" ht="15" customHeight="1" x14ac:dyDescent="0.25">
      <c r="A208" s="85"/>
      <c r="B208" s="217" t="str">
        <f>IF(A208&lt;&gt;"",_xlfn.MAXIFS($B$1:B207,$A$1:A207,A208)+1,"")</f>
        <v/>
      </c>
      <c r="C208" s="50"/>
      <c r="D208" s="50"/>
      <c r="E208" s="50"/>
      <c r="F208" s="50"/>
      <c r="G208" s="280"/>
      <c r="H208" s="293"/>
      <c r="I208" s="292"/>
      <c r="J208" s="292"/>
      <c r="K208" s="200"/>
      <c r="L208" s="200"/>
      <c r="M208" s="89" t="str">
        <f>IFERROR(VLOOKUP(H208,Lijsten!$H$1:$I$100,2,0),"")</f>
        <v/>
      </c>
      <c r="N208" s="89" t="str" cm="1">
        <f t="array" ref="N208">IFERROR(_xlfn.IFS(AND(LEFT(F208,6)="Arbeid",RIGHT(F208,3)&lt;&gt;"IKS"),IFERROR(VLOOKUP($G208,Tb_KostenTypen[],2,0),"tarief"),RIGHT(F208,3)="IKS","Uurtarief",LEFT(F208,6)="Arbeid","Uurtarief",AND(LEFT(F208,8)="Bijdrage",RIGHT(F208,15)="(vrijwilligers)"),"Vast tarief"),"")</f>
        <v/>
      </c>
      <c r="O208" s="90"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0"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1"/>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59"/>
      <c r="Z208" s="49"/>
      <c r="AA208" s="37" t="str" cm="1">
        <f t="array" ref="AA208">IFERROR(IF(INDEX(SubsidieTabel!$Q$1:$T$9,MATCH($F208,SubsidieTabel!$Q$1:$Q$9,0),IFERROR(MATCH(Methode_Keuze,SubsidieTabel!$Q$1:$T$1,0),2))&lt;&gt;1=TRUE,"ja",""),"")</f>
        <v/>
      </c>
    </row>
    <row r="209" spans="1:27" ht="15" customHeight="1" x14ac:dyDescent="0.25">
      <c r="A209" s="85"/>
      <c r="B209" s="217" t="str">
        <f>IF(A209&lt;&gt;"",_xlfn.MAXIFS($B$1:B208,$A$1:A208,A209)+1,"")</f>
        <v/>
      </c>
      <c r="C209" s="50"/>
      <c r="D209" s="50"/>
      <c r="E209" s="50"/>
      <c r="F209" s="50"/>
      <c r="G209" s="280"/>
      <c r="H209" s="293"/>
      <c r="I209" s="292"/>
      <c r="J209" s="292"/>
      <c r="K209" s="200"/>
      <c r="L209" s="200"/>
      <c r="M209" s="89" t="str">
        <f>IFERROR(VLOOKUP(H209,Lijsten!$H$1:$I$100,2,0),"")</f>
        <v/>
      </c>
      <c r="N209" s="89" t="str" cm="1">
        <f t="array" ref="N209">IFERROR(_xlfn.IFS(AND(LEFT(F209,6)="Arbeid",RIGHT(F209,3)&lt;&gt;"IKS"),IFERROR(VLOOKUP($G209,Tb_KostenTypen[],2,0),"tarief"),RIGHT(F209,3)="IKS","Uurtarief",LEFT(F209,6)="Arbeid","Uurtarief",AND(LEFT(F209,8)="Bijdrage",RIGHT(F209,15)="(vrijwilligers)"),"Vast tarief"),"")</f>
        <v/>
      </c>
      <c r="O209" s="90"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0"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1"/>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59"/>
      <c r="Z209" s="49"/>
      <c r="AA209" s="37" t="str" cm="1">
        <f t="array" ref="AA209">IFERROR(IF(INDEX(SubsidieTabel!$Q$1:$T$9,MATCH($F209,SubsidieTabel!$Q$1:$Q$9,0),IFERROR(MATCH(Methode_Keuze,SubsidieTabel!$Q$1:$T$1,0),2))&lt;&gt;1=TRUE,"ja",""),"")</f>
        <v/>
      </c>
    </row>
    <row r="210" spans="1:27" ht="15" customHeight="1" x14ac:dyDescent="0.25">
      <c r="A210" s="85"/>
      <c r="B210" s="217" t="str">
        <f>IF(A210&lt;&gt;"",_xlfn.MAXIFS($B$1:B209,$A$1:A209,A210)+1,"")</f>
        <v/>
      </c>
      <c r="C210" s="50"/>
      <c r="D210" s="50"/>
      <c r="E210" s="50"/>
      <c r="F210" s="50"/>
      <c r="G210" s="280"/>
      <c r="H210" s="293"/>
      <c r="I210" s="292"/>
      <c r="J210" s="292"/>
      <c r="K210" s="200"/>
      <c r="L210" s="200"/>
      <c r="M210" s="89" t="str">
        <f>IFERROR(VLOOKUP(H210,Lijsten!$H$1:$I$100,2,0),"")</f>
        <v/>
      </c>
      <c r="N210" s="89" t="str" cm="1">
        <f t="array" ref="N210">IFERROR(_xlfn.IFS(AND(LEFT(F210,6)="Arbeid",RIGHT(F210,3)&lt;&gt;"IKS"),IFERROR(VLOOKUP($G210,Tb_KostenTypen[],2,0),"tarief"),RIGHT(F210,3)="IKS","Uurtarief",LEFT(F210,6)="Arbeid","Uurtarief",AND(LEFT(F210,8)="Bijdrage",RIGHT(F210,15)="(vrijwilligers)"),"Vast tarief"),"")</f>
        <v/>
      </c>
      <c r="O210" s="90"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0"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1"/>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59"/>
      <c r="Z210" s="49"/>
      <c r="AA210" s="37" t="str" cm="1">
        <f t="array" ref="AA210">IFERROR(IF(INDEX(SubsidieTabel!$Q$1:$T$9,MATCH($F210,SubsidieTabel!$Q$1:$Q$9,0),IFERROR(MATCH(Methode_Keuze,SubsidieTabel!$Q$1:$T$1,0),2))&lt;&gt;1=TRUE,"ja",""),"")</f>
        <v/>
      </c>
    </row>
    <row r="211" spans="1:27" ht="15" customHeight="1" x14ac:dyDescent="0.25">
      <c r="A211" s="85"/>
      <c r="B211" s="217" t="str">
        <f>IF(A211&lt;&gt;"",_xlfn.MAXIFS($B$1:B210,$A$1:A210,A211)+1,"")</f>
        <v/>
      </c>
      <c r="C211" s="50"/>
      <c r="D211" s="50"/>
      <c r="E211" s="50"/>
      <c r="F211" s="50"/>
      <c r="G211" s="280"/>
      <c r="H211" s="293"/>
      <c r="I211" s="292"/>
      <c r="J211" s="292"/>
      <c r="K211" s="200"/>
      <c r="L211" s="200"/>
      <c r="M211" s="89" t="str">
        <f>IFERROR(VLOOKUP(H211,Lijsten!$H$1:$I$100,2,0),"")</f>
        <v/>
      </c>
      <c r="N211" s="89" t="str" cm="1">
        <f t="array" ref="N211">IFERROR(_xlfn.IFS(AND(LEFT(F211,6)="Arbeid",RIGHT(F211,3)&lt;&gt;"IKS"),IFERROR(VLOOKUP($G211,Tb_KostenTypen[],2,0),"tarief"),RIGHT(F211,3)="IKS","Uurtarief",LEFT(F211,6)="Arbeid","Uurtarief",AND(LEFT(F211,8)="Bijdrage",RIGHT(F211,15)="(vrijwilligers)"),"Vast tarief"),"")</f>
        <v/>
      </c>
      <c r="O211" s="90"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0"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1"/>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59"/>
      <c r="Z211" s="49"/>
      <c r="AA211" s="37" t="str" cm="1">
        <f t="array" ref="AA211">IFERROR(IF(INDEX(SubsidieTabel!$Q$1:$T$9,MATCH($F211,SubsidieTabel!$Q$1:$Q$9,0),IFERROR(MATCH(Methode_Keuze,SubsidieTabel!$Q$1:$T$1,0),2))&lt;&gt;1=TRUE,"ja",""),"")</f>
        <v/>
      </c>
    </row>
    <row r="212" spans="1:27" ht="15" customHeight="1" x14ac:dyDescent="0.25">
      <c r="A212" s="85"/>
      <c r="B212" s="217" t="str">
        <f>IF(A212&lt;&gt;"",_xlfn.MAXIFS($B$1:B211,$A$1:A211,A212)+1,"")</f>
        <v/>
      </c>
      <c r="C212" s="50"/>
      <c r="D212" s="50"/>
      <c r="E212" s="50"/>
      <c r="F212" s="50"/>
      <c r="G212" s="280"/>
      <c r="H212" s="293"/>
      <c r="I212" s="292"/>
      <c r="J212" s="292"/>
      <c r="K212" s="200"/>
      <c r="L212" s="200"/>
      <c r="M212" s="89" t="str">
        <f>IFERROR(VLOOKUP(H212,Lijsten!$H$1:$I$100,2,0),"")</f>
        <v/>
      </c>
      <c r="N212" s="89" t="str" cm="1">
        <f t="array" ref="N212">IFERROR(_xlfn.IFS(AND(LEFT(F212,6)="Arbeid",RIGHT(F212,3)&lt;&gt;"IKS"),IFERROR(VLOOKUP($G212,Tb_KostenTypen[],2,0),"tarief"),RIGHT(F212,3)="IKS","Uurtarief",LEFT(F212,6)="Arbeid","Uurtarief",AND(LEFT(F212,8)="Bijdrage",RIGHT(F212,15)="(vrijwilligers)"),"Vast tarief"),"")</f>
        <v/>
      </c>
      <c r="O212" s="90"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0"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1"/>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59"/>
      <c r="Z212" s="49"/>
      <c r="AA212" s="37" t="str" cm="1">
        <f t="array" ref="AA212">IFERROR(IF(INDEX(SubsidieTabel!$Q$1:$T$9,MATCH($F212,SubsidieTabel!$Q$1:$Q$9,0),IFERROR(MATCH(Methode_Keuze,SubsidieTabel!$Q$1:$T$1,0),2))&lt;&gt;1=TRUE,"ja",""),"")</f>
        <v/>
      </c>
    </row>
    <row r="213" spans="1:27" ht="15" customHeight="1" x14ac:dyDescent="0.25">
      <c r="A213" s="85"/>
      <c r="B213" s="217" t="str">
        <f>IF(A213&lt;&gt;"",_xlfn.MAXIFS($B$1:B212,$A$1:A212,A213)+1,"")</f>
        <v/>
      </c>
      <c r="C213" s="50"/>
      <c r="D213" s="50"/>
      <c r="E213" s="50"/>
      <c r="F213" s="50"/>
      <c r="G213" s="280"/>
      <c r="H213" s="293"/>
      <c r="I213" s="292"/>
      <c r="J213" s="292"/>
      <c r="K213" s="200"/>
      <c r="L213" s="200"/>
      <c r="M213" s="89" t="str">
        <f>IFERROR(VLOOKUP(H213,Lijsten!$H$1:$I$100,2,0),"")</f>
        <v/>
      </c>
      <c r="N213" s="89" t="str" cm="1">
        <f t="array" ref="N213">IFERROR(_xlfn.IFS(AND(LEFT(F213,6)="Arbeid",RIGHT(F213,3)&lt;&gt;"IKS"),IFERROR(VLOOKUP($G213,Tb_KostenTypen[],2,0),"tarief"),RIGHT(F213,3)="IKS","Uurtarief",LEFT(F213,6)="Arbeid","Uurtarief",AND(LEFT(F213,8)="Bijdrage",RIGHT(F213,15)="(vrijwilligers)"),"Vast tarief"),"")</f>
        <v/>
      </c>
      <c r="O213" s="90"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0"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1"/>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59"/>
      <c r="Z213" s="49"/>
      <c r="AA213" s="37" t="str" cm="1">
        <f t="array" ref="AA213">IFERROR(IF(INDEX(SubsidieTabel!$Q$1:$T$9,MATCH($F213,SubsidieTabel!$Q$1:$Q$9,0),IFERROR(MATCH(Methode_Keuze,SubsidieTabel!$Q$1:$T$1,0),2))&lt;&gt;1=TRUE,"ja",""),"")</f>
        <v/>
      </c>
    </row>
    <row r="214" spans="1:27" ht="15" customHeight="1" x14ac:dyDescent="0.25">
      <c r="A214" s="85"/>
      <c r="B214" s="217" t="str">
        <f>IF(A214&lt;&gt;"",_xlfn.MAXIFS($B$1:B213,$A$1:A213,A214)+1,"")</f>
        <v/>
      </c>
      <c r="C214" s="50"/>
      <c r="D214" s="50"/>
      <c r="E214" s="50"/>
      <c r="F214" s="50"/>
      <c r="G214" s="280"/>
      <c r="H214" s="293"/>
      <c r="I214" s="292"/>
      <c r="J214" s="292"/>
      <c r="K214" s="200"/>
      <c r="L214" s="200"/>
      <c r="M214" s="89" t="str">
        <f>IFERROR(VLOOKUP(H214,Lijsten!$H$1:$I$100,2,0),"")</f>
        <v/>
      </c>
      <c r="N214" s="89" t="str" cm="1">
        <f t="array" ref="N214">IFERROR(_xlfn.IFS(AND(LEFT(F214,6)="Arbeid",RIGHT(F214,3)&lt;&gt;"IKS"),IFERROR(VLOOKUP($G214,Tb_KostenTypen[],2,0),"tarief"),RIGHT(F214,3)="IKS","Uurtarief",LEFT(F214,6)="Arbeid","Uurtarief",AND(LEFT(F214,8)="Bijdrage",RIGHT(F214,15)="(vrijwilligers)"),"Vast tarief"),"")</f>
        <v/>
      </c>
      <c r="O214" s="90"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0"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1"/>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59"/>
      <c r="Z214" s="49"/>
      <c r="AA214" s="37" t="str" cm="1">
        <f t="array" ref="AA214">IFERROR(IF(INDEX(SubsidieTabel!$Q$1:$T$9,MATCH($F214,SubsidieTabel!$Q$1:$Q$9,0),IFERROR(MATCH(Methode_Keuze,SubsidieTabel!$Q$1:$T$1,0),2))&lt;&gt;1=TRUE,"ja",""),"")</f>
        <v/>
      </c>
    </row>
    <row r="215" spans="1:27" ht="15" customHeight="1" x14ac:dyDescent="0.25">
      <c r="A215" s="85"/>
      <c r="B215" s="217" t="str">
        <f>IF(A215&lt;&gt;"",_xlfn.MAXIFS($B$1:B214,$A$1:A214,A215)+1,"")</f>
        <v/>
      </c>
      <c r="C215" s="50"/>
      <c r="D215" s="50"/>
      <c r="E215" s="50"/>
      <c r="F215" s="50"/>
      <c r="G215" s="280"/>
      <c r="H215" s="293"/>
      <c r="I215" s="292"/>
      <c r="J215" s="292"/>
      <c r="K215" s="200"/>
      <c r="L215" s="200"/>
      <c r="M215" s="89" t="str">
        <f>IFERROR(VLOOKUP(H215,Lijsten!$H$1:$I$100,2,0),"")</f>
        <v/>
      </c>
      <c r="N215" s="89" t="str" cm="1">
        <f t="array" ref="N215">IFERROR(_xlfn.IFS(AND(LEFT(F215,6)="Arbeid",RIGHT(F215,3)&lt;&gt;"IKS"),IFERROR(VLOOKUP($G215,Tb_KostenTypen[],2,0),"tarief"),RIGHT(F215,3)="IKS","Uurtarief",LEFT(F215,6)="Arbeid","Uurtarief",AND(LEFT(F215,8)="Bijdrage",RIGHT(F215,15)="(vrijwilligers)"),"Vast tarief"),"")</f>
        <v/>
      </c>
      <c r="O215" s="90"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0"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1"/>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59"/>
      <c r="Z215" s="49"/>
      <c r="AA215" s="37" t="str" cm="1">
        <f t="array" ref="AA215">IFERROR(IF(INDEX(SubsidieTabel!$Q$1:$T$9,MATCH($F215,SubsidieTabel!$Q$1:$Q$9,0),IFERROR(MATCH(Methode_Keuze,SubsidieTabel!$Q$1:$T$1,0),2))&lt;&gt;1=TRUE,"ja",""),"")</f>
        <v/>
      </c>
    </row>
    <row r="216" spans="1:27" ht="15" customHeight="1" x14ac:dyDescent="0.25">
      <c r="A216" s="85"/>
      <c r="B216" s="217" t="str">
        <f>IF(A216&lt;&gt;"",_xlfn.MAXIFS($B$1:B215,$A$1:A215,A216)+1,"")</f>
        <v/>
      </c>
      <c r="C216" s="50"/>
      <c r="D216" s="50"/>
      <c r="E216" s="50"/>
      <c r="F216" s="50"/>
      <c r="G216" s="280"/>
      <c r="H216" s="293"/>
      <c r="I216" s="292"/>
      <c r="J216" s="292"/>
      <c r="K216" s="200"/>
      <c r="L216" s="200"/>
      <c r="M216" s="89" t="str">
        <f>IFERROR(VLOOKUP(H216,Lijsten!$H$1:$I$100,2,0),"")</f>
        <v/>
      </c>
      <c r="N216" s="89" t="str" cm="1">
        <f t="array" ref="N216">IFERROR(_xlfn.IFS(AND(LEFT(F216,6)="Arbeid",RIGHT(F216,3)&lt;&gt;"IKS"),IFERROR(VLOOKUP($G216,Tb_KostenTypen[],2,0),"tarief"),RIGHT(F216,3)="IKS","Uurtarief",LEFT(F216,6)="Arbeid","Uurtarief",AND(LEFT(F216,8)="Bijdrage",RIGHT(F216,15)="(vrijwilligers)"),"Vast tarief"),"")</f>
        <v/>
      </c>
      <c r="O216" s="90"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0"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1"/>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59"/>
      <c r="Z216" s="49"/>
      <c r="AA216" s="37" t="str" cm="1">
        <f t="array" ref="AA216">IFERROR(IF(INDEX(SubsidieTabel!$Q$1:$T$9,MATCH($F216,SubsidieTabel!$Q$1:$Q$9,0),IFERROR(MATCH(Methode_Keuze,SubsidieTabel!$Q$1:$T$1,0),2))&lt;&gt;1=TRUE,"ja",""),"")</f>
        <v/>
      </c>
    </row>
    <row r="217" spans="1:27" ht="15" customHeight="1" x14ac:dyDescent="0.25">
      <c r="A217" s="85"/>
      <c r="B217" s="217" t="str">
        <f>IF(A217&lt;&gt;"",_xlfn.MAXIFS($B$1:B216,$A$1:A216,A217)+1,"")</f>
        <v/>
      </c>
      <c r="C217" s="50"/>
      <c r="D217" s="50"/>
      <c r="E217" s="50"/>
      <c r="F217" s="50"/>
      <c r="G217" s="280"/>
      <c r="H217" s="293"/>
      <c r="I217" s="292"/>
      <c r="J217" s="292"/>
      <c r="K217" s="200"/>
      <c r="L217" s="200"/>
      <c r="M217" s="89" t="str">
        <f>IFERROR(VLOOKUP(H217,Lijsten!$H$1:$I$100,2,0),"")</f>
        <v/>
      </c>
      <c r="N217" s="89" t="str" cm="1">
        <f t="array" ref="N217">IFERROR(_xlfn.IFS(AND(LEFT(F217,6)="Arbeid",RIGHT(F217,3)&lt;&gt;"IKS"),IFERROR(VLOOKUP($G217,Tb_KostenTypen[],2,0),"tarief"),RIGHT(F217,3)="IKS","Uurtarief",LEFT(F217,6)="Arbeid","Uurtarief",AND(LEFT(F217,8)="Bijdrage",RIGHT(F217,15)="(vrijwilligers)"),"Vast tarief"),"")</f>
        <v/>
      </c>
      <c r="O217" s="90"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0"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1"/>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59"/>
      <c r="Z217" s="49"/>
      <c r="AA217" s="37" t="str" cm="1">
        <f t="array" ref="AA217">IFERROR(IF(INDEX(SubsidieTabel!$Q$1:$T$9,MATCH($F217,SubsidieTabel!$Q$1:$Q$9,0),IFERROR(MATCH(Methode_Keuze,SubsidieTabel!$Q$1:$T$1,0),2))&lt;&gt;1=TRUE,"ja",""),"")</f>
        <v/>
      </c>
    </row>
    <row r="218" spans="1:27" ht="15" customHeight="1" x14ac:dyDescent="0.25">
      <c r="A218" s="85"/>
      <c r="B218" s="217" t="str">
        <f>IF(A218&lt;&gt;"",_xlfn.MAXIFS($B$1:B217,$A$1:A217,A218)+1,"")</f>
        <v/>
      </c>
      <c r="C218" s="50"/>
      <c r="D218" s="50"/>
      <c r="E218" s="50"/>
      <c r="F218" s="50"/>
      <c r="G218" s="280"/>
      <c r="H218" s="293"/>
      <c r="I218" s="292"/>
      <c r="J218" s="292"/>
      <c r="K218" s="200"/>
      <c r="L218" s="200"/>
      <c r="M218" s="89" t="str">
        <f>IFERROR(VLOOKUP(H218,Lijsten!$H$1:$I$100,2,0),"")</f>
        <v/>
      </c>
      <c r="N218" s="89" t="str" cm="1">
        <f t="array" ref="N218">IFERROR(_xlfn.IFS(AND(LEFT(F218,6)="Arbeid",RIGHT(F218,3)&lt;&gt;"IKS"),IFERROR(VLOOKUP($G218,Tb_KostenTypen[],2,0),"tarief"),RIGHT(F218,3)="IKS","Uurtarief",LEFT(F218,6)="Arbeid","Uurtarief",AND(LEFT(F218,8)="Bijdrage",RIGHT(F218,15)="(vrijwilligers)"),"Vast tarief"),"")</f>
        <v/>
      </c>
      <c r="O218" s="90"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0"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1"/>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59"/>
      <c r="Z218" s="49"/>
      <c r="AA218" s="37" t="str" cm="1">
        <f t="array" ref="AA218">IFERROR(IF(INDEX(SubsidieTabel!$Q$1:$T$9,MATCH($F218,SubsidieTabel!$Q$1:$Q$9,0),IFERROR(MATCH(Methode_Keuze,SubsidieTabel!$Q$1:$T$1,0),2))&lt;&gt;1=TRUE,"ja",""),"")</f>
        <v/>
      </c>
    </row>
    <row r="219" spans="1:27" ht="15" customHeight="1" x14ac:dyDescent="0.25">
      <c r="A219" s="85"/>
      <c r="B219" s="217" t="str">
        <f>IF(A219&lt;&gt;"",_xlfn.MAXIFS($B$1:B218,$A$1:A218,A219)+1,"")</f>
        <v/>
      </c>
      <c r="C219" s="50"/>
      <c r="D219" s="50"/>
      <c r="E219" s="50"/>
      <c r="F219" s="50"/>
      <c r="G219" s="280"/>
      <c r="H219" s="293"/>
      <c r="I219" s="292"/>
      <c r="J219" s="292"/>
      <c r="K219" s="200"/>
      <c r="L219" s="200"/>
      <c r="M219" s="89" t="str">
        <f>IFERROR(VLOOKUP(H219,Lijsten!$H$1:$I$100,2,0),"")</f>
        <v/>
      </c>
      <c r="N219" s="89" t="str" cm="1">
        <f t="array" ref="N219">IFERROR(_xlfn.IFS(AND(LEFT(F219,6)="Arbeid",RIGHT(F219,3)&lt;&gt;"IKS"),IFERROR(VLOOKUP($G219,Tb_KostenTypen[],2,0),"tarief"),RIGHT(F219,3)="IKS","Uurtarief",LEFT(F219,6)="Arbeid","Uurtarief",AND(LEFT(F219,8)="Bijdrage",RIGHT(F219,15)="(vrijwilligers)"),"Vast tarief"),"")</f>
        <v/>
      </c>
      <c r="O219" s="90"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0"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1"/>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59"/>
      <c r="Z219" s="49"/>
      <c r="AA219" s="37" t="str" cm="1">
        <f t="array" ref="AA219">IFERROR(IF(INDEX(SubsidieTabel!$Q$1:$T$9,MATCH($F219,SubsidieTabel!$Q$1:$Q$9,0),IFERROR(MATCH(Methode_Keuze,SubsidieTabel!$Q$1:$T$1,0),2))&lt;&gt;1=TRUE,"ja",""),"")</f>
        <v/>
      </c>
    </row>
    <row r="220" spans="1:27" ht="15" customHeight="1" x14ac:dyDescent="0.25">
      <c r="A220" s="85"/>
      <c r="B220" s="217" t="str">
        <f>IF(A220&lt;&gt;"",_xlfn.MAXIFS($B$1:B219,$A$1:A219,A220)+1,"")</f>
        <v/>
      </c>
      <c r="C220" s="50"/>
      <c r="D220" s="50"/>
      <c r="E220" s="50"/>
      <c r="F220" s="50"/>
      <c r="G220" s="280"/>
      <c r="H220" s="293"/>
      <c r="I220" s="292"/>
      <c r="J220" s="292"/>
      <c r="K220" s="200"/>
      <c r="L220" s="200"/>
      <c r="M220" s="89" t="str">
        <f>IFERROR(VLOOKUP(H220,Lijsten!$H$1:$I$100,2,0),"")</f>
        <v/>
      </c>
      <c r="N220" s="89" t="str" cm="1">
        <f t="array" ref="N220">IFERROR(_xlfn.IFS(AND(LEFT(F220,6)="Arbeid",RIGHT(F220,3)&lt;&gt;"IKS"),IFERROR(VLOOKUP($G220,Tb_KostenTypen[],2,0),"tarief"),RIGHT(F220,3)="IKS","Uurtarief",LEFT(F220,6)="Arbeid","Uurtarief",AND(LEFT(F220,8)="Bijdrage",RIGHT(F220,15)="(vrijwilligers)"),"Vast tarief"),"")</f>
        <v/>
      </c>
      <c r="O220" s="90"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0"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1"/>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59"/>
      <c r="Z220" s="49"/>
      <c r="AA220" s="37" t="str" cm="1">
        <f t="array" ref="AA220">IFERROR(IF(INDEX(SubsidieTabel!$Q$1:$T$9,MATCH($F220,SubsidieTabel!$Q$1:$Q$9,0),IFERROR(MATCH(Methode_Keuze,SubsidieTabel!$Q$1:$T$1,0),2))&lt;&gt;1=TRUE,"ja",""),"")</f>
        <v/>
      </c>
    </row>
    <row r="221" spans="1:27" ht="15" customHeight="1" x14ac:dyDescent="0.25">
      <c r="A221" s="85"/>
      <c r="B221" s="217" t="str">
        <f>IF(A221&lt;&gt;"",_xlfn.MAXIFS($B$1:B220,$A$1:A220,A221)+1,"")</f>
        <v/>
      </c>
      <c r="C221" s="50"/>
      <c r="D221" s="50"/>
      <c r="E221" s="50"/>
      <c r="F221" s="50"/>
      <c r="G221" s="280"/>
      <c r="H221" s="293"/>
      <c r="I221" s="292"/>
      <c r="J221" s="292"/>
      <c r="K221" s="200"/>
      <c r="L221" s="200"/>
      <c r="M221" s="89" t="str">
        <f>IFERROR(VLOOKUP(H221,Lijsten!$H$1:$I$100,2,0),"")</f>
        <v/>
      </c>
      <c r="N221" s="89" t="str" cm="1">
        <f t="array" ref="N221">IFERROR(_xlfn.IFS(AND(LEFT(F221,6)="Arbeid",RIGHT(F221,3)&lt;&gt;"IKS"),IFERROR(VLOOKUP($G221,Tb_KostenTypen[],2,0),"tarief"),RIGHT(F221,3)="IKS","Uurtarief",LEFT(F221,6)="Arbeid","Uurtarief",AND(LEFT(F221,8)="Bijdrage",RIGHT(F221,15)="(vrijwilligers)"),"Vast tarief"),"")</f>
        <v/>
      </c>
      <c r="O221" s="90"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0"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1"/>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59"/>
      <c r="Z221" s="49"/>
      <c r="AA221" s="37" t="str" cm="1">
        <f t="array" ref="AA221">IFERROR(IF(INDEX(SubsidieTabel!$Q$1:$T$9,MATCH($F221,SubsidieTabel!$Q$1:$Q$9,0),IFERROR(MATCH(Methode_Keuze,SubsidieTabel!$Q$1:$T$1,0),2))&lt;&gt;1=TRUE,"ja",""),"")</f>
        <v/>
      </c>
    </row>
    <row r="222" spans="1:27" ht="15" customHeight="1" x14ac:dyDescent="0.25">
      <c r="A222" s="85"/>
      <c r="B222" s="217" t="str">
        <f>IF(A222&lt;&gt;"",_xlfn.MAXIFS($B$1:B221,$A$1:A221,A222)+1,"")</f>
        <v/>
      </c>
      <c r="C222" s="50"/>
      <c r="D222" s="50"/>
      <c r="E222" s="50"/>
      <c r="F222" s="50"/>
      <c r="G222" s="280"/>
      <c r="H222" s="293"/>
      <c r="I222" s="292"/>
      <c r="J222" s="292"/>
      <c r="K222" s="200"/>
      <c r="L222" s="200"/>
      <c r="M222" s="89" t="str">
        <f>IFERROR(VLOOKUP(H222,Lijsten!$H$1:$I$100,2,0),"")</f>
        <v/>
      </c>
      <c r="N222" s="89" t="str" cm="1">
        <f t="array" ref="N222">IFERROR(_xlfn.IFS(AND(LEFT(F222,6)="Arbeid",RIGHT(F222,3)&lt;&gt;"IKS"),IFERROR(VLOOKUP($G222,Tb_KostenTypen[],2,0),"tarief"),RIGHT(F222,3)="IKS","Uurtarief",LEFT(F222,6)="Arbeid","Uurtarief",AND(LEFT(F222,8)="Bijdrage",RIGHT(F222,15)="(vrijwilligers)"),"Vast tarief"),"")</f>
        <v/>
      </c>
      <c r="O222" s="90"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0"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1"/>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59"/>
      <c r="Z222" s="49"/>
      <c r="AA222" s="37" t="str" cm="1">
        <f t="array" ref="AA222">IFERROR(IF(INDEX(SubsidieTabel!$Q$1:$T$9,MATCH($F222,SubsidieTabel!$Q$1:$Q$9,0),IFERROR(MATCH(Methode_Keuze,SubsidieTabel!$Q$1:$T$1,0),2))&lt;&gt;1=TRUE,"ja",""),"")</f>
        <v/>
      </c>
    </row>
    <row r="223" spans="1:27" ht="15" customHeight="1" x14ac:dyDescent="0.25">
      <c r="A223" s="85"/>
      <c r="B223" s="217" t="str">
        <f>IF(A223&lt;&gt;"",_xlfn.MAXIFS($B$1:B222,$A$1:A222,A223)+1,"")</f>
        <v/>
      </c>
      <c r="C223" s="50"/>
      <c r="D223" s="50"/>
      <c r="E223" s="50"/>
      <c r="F223" s="50"/>
      <c r="G223" s="280"/>
      <c r="H223" s="293"/>
      <c r="I223" s="292"/>
      <c r="J223" s="292"/>
      <c r="K223" s="200"/>
      <c r="L223" s="200"/>
      <c r="M223" s="89" t="str">
        <f>IFERROR(VLOOKUP(H223,Lijsten!$H$1:$I$100,2,0),"")</f>
        <v/>
      </c>
      <c r="N223" s="89" t="str" cm="1">
        <f t="array" ref="N223">IFERROR(_xlfn.IFS(AND(LEFT(F223,6)="Arbeid",RIGHT(F223,3)&lt;&gt;"IKS"),IFERROR(VLOOKUP($G223,Tb_KostenTypen[],2,0),"tarief"),RIGHT(F223,3)="IKS","Uurtarief",LEFT(F223,6)="Arbeid","Uurtarief",AND(LEFT(F223,8)="Bijdrage",RIGHT(F223,15)="(vrijwilligers)"),"Vast tarief"),"")</f>
        <v/>
      </c>
      <c r="O223" s="90"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0"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1"/>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59"/>
      <c r="Z223" s="49"/>
      <c r="AA223" s="37" t="str" cm="1">
        <f t="array" ref="AA223">IFERROR(IF(INDEX(SubsidieTabel!$Q$1:$T$9,MATCH($F223,SubsidieTabel!$Q$1:$Q$9,0),IFERROR(MATCH(Methode_Keuze,SubsidieTabel!$Q$1:$T$1,0),2))&lt;&gt;1=TRUE,"ja",""),"")</f>
        <v/>
      </c>
    </row>
    <row r="224" spans="1:27" ht="15" customHeight="1" x14ac:dyDescent="0.25">
      <c r="A224" s="85"/>
      <c r="B224" s="217" t="str">
        <f>IF(A224&lt;&gt;"",_xlfn.MAXIFS($B$1:B223,$A$1:A223,A224)+1,"")</f>
        <v/>
      </c>
      <c r="C224" s="50"/>
      <c r="D224" s="50"/>
      <c r="E224" s="50"/>
      <c r="F224" s="50"/>
      <c r="G224" s="280"/>
      <c r="H224" s="293"/>
      <c r="I224" s="292"/>
      <c r="J224" s="292"/>
      <c r="K224" s="200"/>
      <c r="L224" s="200"/>
      <c r="M224" s="89" t="str">
        <f>IFERROR(VLOOKUP(H224,Lijsten!$H$1:$I$100,2,0),"")</f>
        <v/>
      </c>
      <c r="N224" s="89" t="str" cm="1">
        <f t="array" ref="N224">IFERROR(_xlfn.IFS(AND(LEFT(F224,6)="Arbeid",RIGHT(F224,3)&lt;&gt;"IKS"),IFERROR(VLOOKUP($G224,Tb_KostenTypen[],2,0),"tarief"),RIGHT(F224,3)="IKS","Uurtarief",LEFT(F224,6)="Arbeid","Uurtarief",AND(LEFT(F224,8)="Bijdrage",RIGHT(F224,15)="(vrijwilligers)"),"Vast tarief"),"")</f>
        <v/>
      </c>
      <c r="O224" s="90"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0"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1"/>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59"/>
      <c r="Z224" s="49"/>
      <c r="AA224" s="37" t="str" cm="1">
        <f t="array" ref="AA224">IFERROR(IF(INDEX(SubsidieTabel!$Q$1:$T$9,MATCH($F224,SubsidieTabel!$Q$1:$Q$9,0),IFERROR(MATCH(Methode_Keuze,SubsidieTabel!$Q$1:$T$1,0),2))&lt;&gt;1=TRUE,"ja",""),"")</f>
        <v/>
      </c>
    </row>
    <row r="225" spans="1:27" ht="15" customHeight="1" x14ac:dyDescent="0.25">
      <c r="A225" s="85"/>
      <c r="B225" s="217" t="str">
        <f>IF(A225&lt;&gt;"",_xlfn.MAXIFS($B$1:B224,$A$1:A224,A225)+1,"")</f>
        <v/>
      </c>
      <c r="C225" s="50"/>
      <c r="D225" s="50"/>
      <c r="E225" s="50"/>
      <c r="F225" s="50"/>
      <c r="G225" s="280"/>
      <c r="H225" s="293"/>
      <c r="I225" s="292"/>
      <c r="J225" s="292"/>
      <c r="K225" s="200"/>
      <c r="L225" s="200"/>
      <c r="M225" s="89" t="str">
        <f>IFERROR(VLOOKUP(H225,Lijsten!$H$1:$I$100,2,0),"")</f>
        <v/>
      </c>
      <c r="N225" s="89" t="str" cm="1">
        <f t="array" ref="N225">IFERROR(_xlfn.IFS(AND(LEFT(F225,6)="Arbeid",RIGHT(F225,3)&lt;&gt;"IKS"),IFERROR(VLOOKUP($G225,Tb_KostenTypen[],2,0),"tarief"),RIGHT(F225,3)="IKS","Uurtarief",LEFT(F225,6)="Arbeid","Uurtarief",AND(LEFT(F225,8)="Bijdrage",RIGHT(F225,15)="(vrijwilligers)"),"Vast tarief"),"")</f>
        <v/>
      </c>
      <c r="O225" s="90"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0"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1"/>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59"/>
      <c r="Z225" s="49"/>
      <c r="AA225" s="37" t="str" cm="1">
        <f t="array" ref="AA225">IFERROR(IF(INDEX(SubsidieTabel!$Q$1:$T$9,MATCH($F225,SubsidieTabel!$Q$1:$Q$9,0),IFERROR(MATCH(Methode_Keuze,SubsidieTabel!$Q$1:$T$1,0),2))&lt;&gt;1=TRUE,"ja",""),"")</f>
        <v/>
      </c>
    </row>
    <row r="226" spans="1:27" ht="15" customHeight="1" x14ac:dyDescent="0.25">
      <c r="A226" s="85"/>
      <c r="B226" s="217" t="str">
        <f>IF(A226&lt;&gt;"",_xlfn.MAXIFS($B$1:B225,$A$1:A225,A226)+1,"")</f>
        <v/>
      </c>
      <c r="C226" s="50"/>
      <c r="D226" s="50"/>
      <c r="E226" s="50"/>
      <c r="F226" s="50"/>
      <c r="G226" s="280"/>
      <c r="H226" s="293"/>
      <c r="I226" s="292"/>
      <c r="J226" s="292"/>
      <c r="K226" s="200"/>
      <c r="L226" s="200"/>
      <c r="M226" s="89" t="str">
        <f>IFERROR(VLOOKUP(H226,Lijsten!$H$1:$I$100,2,0),"")</f>
        <v/>
      </c>
      <c r="N226" s="89" t="str" cm="1">
        <f t="array" ref="N226">IFERROR(_xlfn.IFS(AND(LEFT(F226,6)="Arbeid",RIGHT(F226,3)&lt;&gt;"IKS"),IFERROR(VLOOKUP($G226,Tb_KostenTypen[],2,0),"tarief"),RIGHT(F226,3)="IKS","Uurtarief",LEFT(F226,6)="Arbeid","Uurtarief",AND(LEFT(F226,8)="Bijdrage",RIGHT(F226,15)="(vrijwilligers)"),"Vast tarief"),"")</f>
        <v/>
      </c>
      <c r="O226" s="90"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0"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1"/>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59"/>
      <c r="Z226" s="49"/>
      <c r="AA226" s="37" t="str" cm="1">
        <f t="array" ref="AA226">IFERROR(IF(INDEX(SubsidieTabel!$Q$1:$T$9,MATCH($F226,SubsidieTabel!$Q$1:$Q$9,0),IFERROR(MATCH(Methode_Keuze,SubsidieTabel!$Q$1:$T$1,0),2))&lt;&gt;1=TRUE,"ja",""),"")</f>
        <v/>
      </c>
    </row>
    <row r="227" spans="1:27" ht="15" customHeight="1" x14ac:dyDescent="0.25">
      <c r="A227" s="85"/>
      <c r="B227" s="217" t="str">
        <f>IF(A227&lt;&gt;"",_xlfn.MAXIFS($B$1:B226,$A$1:A226,A227)+1,"")</f>
        <v/>
      </c>
      <c r="C227" s="50"/>
      <c r="D227" s="50"/>
      <c r="E227" s="50"/>
      <c r="F227" s="50"/>
      <c r="G227" s="280"/>
      <c r="H227" s="293"/>
      <c r="I227" s="292"/>
      <c r="J227" s="292"/>
      <c r="K227" s="200"/>
      <c r="L227" s="200"/>
      <c r="M227" s="89" t="str">
        <f>IFERROR(VLOOKUP(H227,Lijsten!$H$1:$I$100,2,0),"")</f>
        <v/>
      </c>
      <c r="N227" s="89" t="str" cm="1">
        <f t="array" ref="N227">IFERROR(_xlfn.IFS(AND(LEFT(F227,6)="Arbeid",RIGHT(F227,3)&lt;&gt;"IKS"),IFERROR(VLOOKUP($G227,Tb_KostenTypen[],2,0),"tarief"),RIGHT(F227,3)="IKS","Uurtarief",LEFT(F227,6)="Arbeid","Uurtarief",AND(LEFT(F227,8)="Bijdrage",RIGHT(F227,15)="(vrijwilligers)"),"Vast tarief"),"")</f>
        <v/>
      </c>
      <c r="O227" s="90"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0"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1"/>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59"/>
      <c r="Z227" s="49"/>
      <c r="AA227" s="37" t="str" cm="1">
        <f t="array" ref="AA227">IFERROR(IF(INDEX(SubsidieTabel!$Q$1:$T$9,MATCH($F227,SubsidieTabel!$Q$1:$Q$9,0),IFERROR(MATCH(Methode_Keuze,SubsidieTabel!$Q$1:$T$1,0),2))&lt;&gt;1=TRUE,"ja",""),"")</f>
        <v/>
      </c>
    </row>
    <row r="228" spans="1:27" ht="15" customHeight="1" x14ac:dyDescent="0.25">
      <c r="A228" s="85"/>
      <c r="B228" s="217" t="str">
        <f>IF(A228&lt;&gt;"",_xlfn.MAXIFS($B$1:B227,$A$1:A227,A228)+1,"")</f>
        <v/>
      </c>
      <c r="C228" s="50"/>
      <c r="D228" s="50"/>
      <c r="E228" s="50"/>
      <c r="F228" s="50"/>
      <c r="G228" s="280"/>
      <c r="H228" s="293"/>
      <c r="I228" s="292"/>
      <c r="J228" s="292"/>
      <c r="K228" s="200"/>
      <c r="L228" s="200"/>
      <c r="M228" s="89" t="str">
        <f>IFERROR(VLOOKUP(H228,Lijsten!$H$1:$I$100,2,0),"")</f>
        <v/>
      </c>
      <c r="N228" s="89" t="str" cm="1">
        <f t="array" ref="N228">IFERROR(_xlfn.IFS(AND(LEFT(F228,6)="Arbeid",RIGHT(F228,3)&lt;&gt;"IKS"),IFERROR(VLOOKUP($G228,Tb_KostenTypen[],2,0),"tarief"),RIGHT(F228,3)="IKS","Uurtarief",LEFT(F228,6)="Arbeid","Uurtarief",AND(LEFT(F228,8)="Bijdrage",RIGHT(F228,15)="(vrijwilligers)"),"Vast tarief"),"")</f>
        <v/>
      </c>
      <c r="O228" s="90"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0"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1"/>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59"/>
      <c r="Z228" s="49"/>
      <c r="AA228" s="37" t="str" cm="1">
        <f t="array" ref="AA228">IFERROR(IF(INDEX(SubsidieTabel!$Q$1:$T$9,MATCH($F228,SubsidieTabel!$Q$1:$Q$9,0),IFERROR(MATCH(Methode_Keuze,SubsidieTabel!$Q$1:$T$1,0),2))&lt;&gt;1=TRUE,"ja",""),"")</f>
        <v/>
      </c>
    </row>
    <row r="229" spans="1:27" ht="15" customHeight="1" x14ac:dyDescent="0.25">
      <c r="A229" s="85"/>
      <c r="B229" s="217" t="str">
        <f>IF(A229&lt;&gt;"",_xlfn.MAXIFS($B$1:B228,$A$1:A228,A229)+1,"")</f>
        <v/>
      </c>
      <c r="C229" s="50"/>
      <c r="D229" s="50"/>
      <c r="E229" s="50"/>
      <c r="F229" s="50"/>
      <c r="G229" s="280"/>
      <c r="H229" s="293"/>
      <c r="I229" s="292"/>
      <c r="J229" s="292"/>
      <c r="K229" s="200"/>
      <c r="L229" s="200"/>
      <c r="M229" s="89" t="str">
        <f>IFERROR(VLOOKUP(H229,Lijsten!$H$1:$I$100,2,0),"")</f>
        <v/>
      </c>
      <c r="N229" s="89" t="str" cm="1">
        <f t="array" ref="N229">IFERROR(_xlfn.IFS(AND(LEFT(F229,6)="Arbeid",RIGHT(F229,3)&lt;&gt;"IKS"),IFERROR(VLOOKUP($G229,Tb_KostenTypen[],2,0),"tarief"),RIGHT(F229,3)="IKS","Uurtarief",LEFT(F229,6)="Arbeid","Uurtarief",AND(LEFT(F229,8)="Bijdrage",RIGHT(F229,15)="(vrijwilligers)"),"Vast tarief"),"")</f>
        <v/>
      </c>
      <c r="O229" s="90"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0"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1"/>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59"/>
      <c r="Z229" s="49"/>
      <c r="AA229" s="37" t="str" cm="1">
        <f t="array" ref="AA229">IFERROR(IF(INDEX(SubsidieTabel!$Q$1:$T$9,MATCH($F229,SubsidieTabel!$Q$1:$Q$9,0),IFERROR(MATCH(Methode_Keuze,SubsidieTabel!$Q$1:$T$1,0),2))&lt;&gt;1=TRUE,"ja",""),"")</f>
        <v/>
      </c>
    </row>
    <row r="230" spans="1:27" ht="15" customHeight="1" x14ac:dyDescent="0.25">
      <c r="A230" s="85"/>
      <c r="B230" s="217" t="str">
        <f>IF(A230&lt;&gt;"",_xlfn.MAXIFS($B$1:B229,$A$1:A229,A230)+1,"")</f>
        <v/>
      </c>
      <c r="C230" s="50"/>
      <c r="D230" s="50"/>
      <c r="E230" s="50"/>
      <c r="F230" s="50"/>
      <c r="G230" s="280"/>
      <c r="H230" s="293"/>
      <c r="I230" s="292"/>
      <c r="J230" s="292"/>
      <c r="K230" s="200"/>
      <c r="L230" s="200"/>
      <c r="M230" s="89" t="str">
        <f>IFERROR(VLOOKUP(H230,Lijsten!$H$1:$I$100,2,0),"")</f>
        <v/>
      </c>
      <c r="N230" s="89" t="str" cm="1">
        <f t="array" ref="N230">IFERROR(_xlfn.IFS(AND(LEFT(F230,6)="Arbeid",RIGHT(F230,3)&lt;&gt;"IKS"),IFERROR(VLOOKUP($G230,Tb_KostenTypen[],2,0),"tarief"),RIGHT(F230,3)="IKS","Uurtarief",LEFT(F230,6)="Arbeid","Uurtarief",AND(LEFT(F230,8)="Bijdrage",RIGHT(F230,15)="(vrijwilligers)"),"Vast tarief"),"")</f>
        <v/>
      </c>
      <c r="O230" s="90"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0"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1"/>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59"/>
      <c r="Z230" s="49"/>
      <c r="AA230" s="37" t="str" cm="1">
        <f t="array" ref="AA230">IFERROR(IF(INDEX(SubsidieTabel!$Q$1:$T$9,MATCH($F230,SubsidieTabel!$Q$1:$Q$9,0),IFERROR(MATCH(Methode_Keuze,SubsidieTabel!$Q$1:$T$1,0),2))&lt;&gt;1=TRUE,"ja",""),"")</f>
        <v/>
      </c>
    </row>
    <row r="231" spans="1:27" ht="15" customHeight="1" x14ac:dyDescent="0.25">
      <c r="A231" s="85"/>
      <c r="B231" s="217" t="str">
        <f>IF(A231&lt;&gt;"",_xlfn.MAXIFS($B$1:B230,$A$1:A230,A231)+1,"")</f>
        <v/>
      </c>
      <c r="C231" s="50"/>
      <c r="D231" s="50"/>
      <c r="E231" s="50"/>
      <c r="F231" s="50"/>
      <c r="G231" s="280"/>
      <c r="H231" s="293"/>
      <c r="I231" s="292"/>
      <c r="J231" s="292"/>
      <c r="K231" s="200"/>
      <c r="L231" s="200"/>
      <c r="M231" s="89" t="str">
        <f>IFERROR(VLOOKUP(H231,Lijsten!$H$1:$I$100,2,0),"")</f>
        <v/>
      </c>
      <c r="N231" s="89" t="str" cm="1">
        <f t="array" ref="N231">IFERROR(_xlfn.IFS(AND(LEFT(F231,6)="Arbeid",RIGHT(F231,3)&lt;&gt;"IKS"),IFERROR(VLOOKUP($G231,Tb_KostenTypen[],2,0),"tarief"),RIGHT(F231,3)="IKS","Uurtarief",LEFT(F231,6)="Arbeid","Uurtarief",AND(LEFT(F231,8)="Bijdrage",RIGHT(F231,15)="(vrijwilligers)"),"Vast tarief"),"")</f>
        <v/>
      </c>
      <c r="O231" s="90"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0"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1"/>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59"/>
      <c r="Z231" s="49"/>
      <c r="AA231" s="37" t="str" cm="1">
        <f t="array" ref="AA231">IFERROR(IF(INDEX(SubsidieTabel!$Q$1:$T$9,MATCH($F231,SubsidieTabel!$Q$1:$Q$9,0),IFERROR(MATCH(Methode_Keuze,SubsidieTabel!$Q$1:$T$1,0),2))&lt;&gt;1=TRUE,"ja",""),"")</f>
        <v/>
      </c>
    </row>
    <row r="232" spans="1:27" ht="15" customHeight="1" x14ac:dyDescent="0.25">
      <c r="A232" s="85"/>
      <c r="B232" s="217" t="str">
        <f>IF(A232&lt;&gt;"",_xlfn.MAXIFS($B$1:B231,$A$1:A231,A232)+1,"")</f>
        <v/>
      </c>
      <c r="C232" s="50"/>
      <c r="D232" s="50"/>
      <c r="E232" s="50"/>
      <c r="F232" s="50"/>
      <c r="G232" s="280"/>
      <c r="H232" s="293"/>
      <c r="I232" s="292"/>
      <c r="J232" s="292"/>
      <c r="K232" s="200"/>
      <c r="L232" s="200"/>
      <c r="M232" s="89" t="str">
        <f>IFERROR(VLOOKUP(H232,Lijsten!$H$1:$I$100,2,0),"")</f>
        <v/>
      </c>
      <c r="N232" s="89" t="str" cm="1">
        <f t="array" ref="N232">IFERROR(_xlfn.IFS(AND(LEFT(F232,6)="Arbeid",RIGHT(F232,3)&lt;&gt;"IKS"),IFERROR(VLOOKUP($G232,Tb_KostenTypen[],2,0),"tarief"),RIGHT(F232,3)="IKS","Uurtarief",LEFT(F232,6)="Arbeid","Uurtarief",AND(LEFT(F232,8)="Bijdrage",RIGHT(F232,15)="(vrijwilligers)"),"Vast tarief"),"")</f>
        <v/>
      </c>
      <c r="O232" s="90"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0"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1"/>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59"/>
      <c r="Z232" s="49"/>
      <c r="AA232" s="37" t="str" cm="1">
        <f t="array" ref="AA232">IFERROR(IF(INDEX(SubsidieTabel!$Q$1:$T$9,MATCH($F232,SubsidieTabel!$Q$1:$Q$9,0),IFERROR(MATCH(Methode_Keuze,SubsidieTabel!$Q$1:$T$1,0),2))&lt;&gt;1=TRUE,"ja",""),"")</f>
        <v/>
      </c>
    </row>
    <row r="233" spans="1:27" ht="15" customHeight="1" x14ac:dyDescent="0.25">
      <c r="A233" s="85"/>
      <c r="B233" s="217" t="str">
        <f>IF(A233&lt;&gt;"",_xlfn.MAXIFS($B$1:B232,$A$1:A232,A233)+1,"")</f>
        <v/>
      </c>
      <c r="C233" s="50"/>
      <c r="D233" s="50"/>
      <c r="E233" s="50"/>
      <c r="F233" s="50"/>
      <c r="G233" s="280"/>
      <c r="H233" s="293"/>
      <c r="I233" s="292"/>
      <c r="J233" s="292"/>
      <c r="K233" s="200"/>
      <c r="L233" s="200"/>
      <c r="M233" s="89" t="str">
        <f>IFERROR(VLOOKUP(H233,Lijsten!$H$1:$I$100,2,0),"")</f>
        <v/>
      </c>
      <c r="N233" s="89" t="str" cm="1">
        <f t="array" ref="N233">IFERROR(_xlfn.IFS(AND(LEFT(F233,6)="Arbeid",RIGHT(F233,3)&lt;&gt;"IKS"),IFERROR(VLOOKUP($G233,Tb_KostenTypen[],2,0),"tarief"),RIGHT(F233,3)="IKS","Uurtarief",LEFT(F233,6)="Arbeid","Uurtarief",AND(LEFT(F233,8)="Bijdrage",RIGHT(F233,15)="(vrijwilligers)"),"Vast tarief"),"")</f>
        <v/>
      </c>
      <c r="O233" s="90"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0"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1"/>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59"/>
      <c r="Z233" s="49"/>
      <c r="AA233" s="37" t="str" cm="1">
        <f t="array" ref="AA233">IFERROR(IF(INDEX(SubsidieTabel!$Q$1:$T$9,MATCH($F233,SubsidieTabel!$Q$1:$Q$9,0),IFERROR(MATCH(Methode_Keuze,SubsidieTabel!$Q$1:$T$1,0),2))&lt;&gt;1=TRUE,"ja",""),"")</f>
        <v/>
      </c>
    </row>
    <row r="234" spans="1:27" ht="15" customHeight="1" x14ac:dyDescent="0.25">
      <c r="A234" s="85"/>
      <c r="B234" s="217" t="str">
        <f>IF(A234&lt;&gt;"",_xlfn.MAXIFS($B$1:B233,$A$1:A233,A234)+1,"")</f>
        <v/>
      </c>
      <c r="C234" s="50"/>
      <c r="D234" s="50"/>
      <c r="E234" s="50"/>
      <c r="F234" s="50"/>
      <c r="G234" s="280"/>
      <c r="H234" s="293"/>
      <c r="I234" s="292"/>
      <c r="J234" s="292"/>
      <c r="K234" s="200"/>
      <c r="L234" s="200"/>
      <c r="M234" s="89" t="str">
        <f>IFERROR(VLOOKUP(H234,Lijsten!$H$1:$I$100,2,0),"")</f>
        <v/>
      </c>
      <c r="N234" s="89" t="str" cm="1">
        <f t="array" ref="N234">IFERROR(_xlfn.IFS(AND(LEFT(F234,6)="Arbeid",RIGHT(F234,3)&lt;&gt;"IKS"),IFERROR(VLOOKUP($G234,Tb_KostenTypen[],2,0),"tarief"),RIGHT(F234,3)="IKS","Uurtarief",LEFT(F234,6)="Arbeid","Uurtarief",AND(LEFT(F234,8)="Bijdrage",RIGHT(F234,15)="(vrijwilligers)"),"Vast tarief"),"")</f>
        <v/>
      </c>
      <c r="O234" s="90"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0"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1"/>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59"/>
      <c r="Z234" s="49"/>
      <c r="AA234" s="37" t="str" cm="1">
        <f t="array" ref="AA234">IFERROR(IF(INDEX(SubsidieTabel!$Q$1:$T$9,MATCH($F234,SubsidieTabel!$Q$1:$Q$9,0),IFERROR(MATCH(Methode_Keuze,SubsidieTabel!$Q$1:$T$1,0),2))&lt;&gt;1=TRUE,"ja",""),"")</f>
        <v/>
      </c>
    </row>
    <row r="235" spans="1:27" ht="15" customHeight="1" x14ac:dyDescent="0.25">
      <c r="A235" s="85"/>
      <c r="B235" s="217" t="str">
        <f>IF(A235&lt;&gt;"",_xlfn.MAXIFS($B$1:B234,$A$1:A234,A235)+1,"")</f>
        <v/>
      </c>
      <c r="C235" s="50"/>
      <c r="D235" s="50"/>
      <c r="E235" s="50"/>
      <c r="F235" s="50"/>
      <c r="G235" s="280"/>
      <c r="H235" s="293"/>
      <c r="I235" s="292"/>
      <c r="J235" s="292"/>
      <c r="K235" s="200"/>
      <c r="L235" s="200"/>
      <c r="M235" s="89" t="str">
        <f>IFERROR(VLOOKUP(H235,Lijsten!$H$1:$I$100,2,0),"")</f>
        <v/>
      </c>
      <c r="N235" s="89" t="str" cm="1">
        <f t="array" ref="N235">IFERROR(_xlfn.IFS(AND(LEFT(F235,6)="Arbeid",RIGHT(F235,3)&lt;&gt;"IKS"),IFERROR(VLOOKUP($G235,Tb_KostenTypen[],2,0),"tarief"),RIGHT(F235,3)="IKS","Uurtarief",LEFT(F235,6)="Arbeid","Uurtarief",AND(LEFT(F235,8)="Bijdrage",RIGHT(F235,15)="(vrijwilligers)"),"Vast tarief"),"")</f>
        <v/>
      </c>
      <c r="O235" s="90"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0"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1"/>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59"/>
      <c r="Z235" s="49"/>
      <c r="AA235" s="37" t="str" cm="1">
        <f t="array" ref="AA235">IFERROR(IF(INDEX(SubsidieTabel!$Q$1:$T$9,MATCH($F235,SubsidieTabel!$Q$1:$Q$9,0),IFERROR(MATCH(Methode_Keuze,SubsidieTabel!$Q$1:$T$1,0),2))&lt;&gt;1=TRUE,"ja",""),"")</f>
        <v/>
      </c>
    </row>
    <row r="236" spans="1:27" ht="15" customHeight="1" x14ac:dyDescent="0.25">
      <c r="A236" s="85"/>
      <c r="B236" s="217" t="str">
        <f>IF(A236&lt;&gt;"",_xlfn.MAXIFS($B$1:B235,$A$1:A235,A236)+1,"")</f>
        <v/>
      </c>
      <c r="C236" s="50"/>
      <c r="D236" s="50"/>
      <c r="E236" s="50"/>
      <c r="F236" s="50"/>
      <c r="G236" s="280"/>
      <c r="H236" s="293"/>
      <c r="I236" s="292"/>
      <c r="J236" s="292"/>
      <c r="K236" s="200"/>
      <c r="L236" s="200"/>
      <c r="M236" s="89" t="str">
        <f>IFERROR(VLOOKUP(H236,Lijsten!$H$1:$I$100,2,0),"")</f>
        <v/>
      </c>
      <c r="N236" s="89" t="str" cm="1">
        <f t="array" ref="N236">IFERROR(_xlfn.IFS(AND(LEFT(F236,6)="Arbeid",RIGHT(F236,3)&lt;&gt;"IKS"),IFERROR(VLOOKUP($G236,Tb_KostenTypen[],2,0),"tarief"),RIGHT(F236,3)="IKS","Uurtarief",LEFT(F236,6)="Arbeid","Uurtarief",AND(LEFT(F236,8)="Bijdrage",RIGHT(F236,15)="(vrijwilligers)"),"Vast tarief"),"")</f>
        <v/>
      </c>
      <c r="O236" s="90"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0"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1"/>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59"/>
      <c r="Z236" s="49"/>
      <c r="AA236" s="37" t="str" cm="1">
        <f t="array" ref="AA236">IFERROR(IF(INDEX(SubsidieTabel!$Q$1:$T$9,MATCH($F236,SubsidieTabel!$Q$1:$Q$9,0),IFERROR(MATCH(Methode_Keuze,SubsidieTabel!$Q$1:$T$1,0),2))&lt;&gt;1=TRUE,"ja",""),"")</f>
        <v/>
      </c>
    </row>
    <row r="237" spans="1:27" ht="15" customHeight="1" x14ac:dyDescent="0.25">
      <c r="A237" s="85"/>
      <c r="B237" s="217" t="str">
        <f>IF(A237&lt;&gt;"",_xlfn.MAXIFS($B$1:B236,$A$1:A236,A237)+1,"")</f>
        <v/>
      </c>
      <c r="C237" s="50"/>
      <c r="D237" s="50"/>
      <c r="E237" s="50"/>
      <c r="F237" s="50"/>
      <c r="G237" s="280"/>
      <c r="H237" s="293"/>
      <c r="I237" s="292"/>
      <c r="J237" s="292"/>
      <c r="K237" s="200"/>
      <c r="L237" s="200"/>
      <c r="M237" s="89" t="str">
        <f>IFERROR(VLOOKUP(H237,Lijsten!$H$1:$I$100,2,0),"")</f>
        <v/>
      </c>
      <c r="N237" s="89" t="str" cm="1">
        <f t="array" ref="N237">IFERROR(_xlfn.IFS(AND(LEFT(F237,6)="Arbeid",RIGHT(F237,3)&lt;&gt;"IKS"),IFERROR(VLOOKUP($G237,Tb_KostenTypen[],2,0),"tarief"),RIGHT(F237,3)="IKS","Uurtarief",LEFT(F237,6)="Arbeid","Uurtarief",AND(LEFT(F237,8)="Bijdrage",RIGHT(F237,15)="(vrijwilligers)"),"Vast tarief"),"")</f>
        <v/>
      </c>
      <c r="O237" s="90"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0"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1"/>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59"/>
      <c r="Z237" s="49"/>
      <c r="AA237" s="37" t="str" cm="1">
        <f t="array" ref="AA237">IFERROR(IF(INDEX(SubsidieTabel!$Q$1:$T$9,MATCH($F237,SubsidieTabel!$Q$1:$Q$9,0),IFERROR(MATCH(Methode_Keuze,SubsidieTabel!$Q$1:$T$1,0),2))&lt;&gt;1=TRUE,"ja",""),"")</f>
        <v/>
      </c>
    </row>
    <row r="238" spans="1:27" ht="15" customHeight="1" x14ac:dyDescent="0.25">
      <c r="A238" s="85"/>
      <c r="B238" s="217" t="str">
        <f>IF(A238&lt;&gt;"",_xlfn.MAXIFS($B$1:B237,$A$1:A237,A238)+1,"")</f>
        <v/>
      </c>
      <c r="C238" s="50"/>
      <c r="D238" s="50"/>
      <c r="E238" s="50"/>
      <c r="F238" s="50"/>
      <c r="G238" s="280"/>
      <c r="H238" s="293"/>
      <c r="I238" s="292"/>
      <c r="J238" s="292"/>
      <c r="K238" s="200"/>
      <c r="L238" s="200"/>
      <c r="M238" s="89" t="str">
        <f>IFERROR(VLOOKUP(H238,Lijsten!$H$1:$I$100,2,0),"")</f>
        <v/>
      </c>
      <c r="N238" s="89" t="str" cm="1">
        <f t="array" ref="N238">IFERROR(_xlfn.IFS(AND(LEFT(F238,6)="Arbeid",RIGHT(F238,3)&lt;&gt;"IKS"),IFERROR(VLOOKUP($G238,Tb_KostenTypen[],2,0),"tarief"),RIGHT(F238,3)="IKS","Uurtarief",LEFT(F238,6)="Arbeid","Uurtarief",AND(LEFT(F238,8)="Bijdrage",RIGHT(F238,15)="(vrijwilligers)"),"Vast tarief"),"")</f>
        <v/>
      </c>
      <c r="O238" s="90"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0"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1"/>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59"/>
      <c r="Z238" s="49"/>
      <c r="AA238" s="37" t="str" cm="1">
        <f t="array" ref="AA238">IFERROR(IF(INDEX(SubsidieTabel!$Q$1:$T$9,MATCH($F238,SubsidieTabel!$Q$1:$Q$9,0),IFERROR(MATCH(Methode_Keuze,SubsidieTabel!$Q$1:$T$1,0),2))&lt;&gt;1=TRUE,"ja",""),"")</f>
        <v/>
      </c>
    </row>
    <row r="239" spans="1:27" ht="15" customHeight="1" x14ac:dyDescent="0.25">
      <c r="A239" s="85"/>
      <c r="B239" s="217" t="str">
        <f>IF(A239&lt;&gt;"",_xlfn.MAXIFS($B$1:B238,$A$1:A238,A239)+1,"")</f>
        <v/>
      </c>
      <c r="C239" s="50"/>
      <c r="D239" s="50"/>
      <c r="E239" s="50"/>
      <c r="F239" s="50"/>
      <c r="G239" s="280"/>
      <c r="H239" s="293"/>
      <c r="I239" s="292"/>
      <c r="J239" s="292"/>
      <c r="K239" s="200"/>
      <c r="L239" s="200"/>
      <c r="M239" s="89" t="str">
        <f>IFERROR(VLOOKUP(H239,Lijsten!$H$1:$I$100,2,0),"")</f>
        <v/>
      </c>
      <c r="N239" s="89" t="str" cm="1">
        <f t="array" ref="N239">IFERROR(_xlfn.IFS(AND(LEFT(F239,6)="Arbeid",RIGHT(F239,3)&lt;&gt;"IKS"),IFERROR(VLOOKUP($G239,Tb_KostenTypen[],2,0),"tarief"),RIGHT(F239,3)="IKS","Uurtarief",LEFT(F239,6)="Arbeid","Uurtarief",AND(LEFT(F239,8)="Bijdrage",RIGHT(F239,15)="(vrijwilligers)"),"Vast tarief"),"")</f>
        <v/>
      </c>
      <c r="O239" s="90"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0"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1"/>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59"/>
      <c r="Z239" s="49"/>
      <c r="AA239" s="37" t="str" cm="1">
        <f t="array" ref="AA239">IFERROR(IF(INDEX(SubsidieTabel!$Q$1:$T$9,MATCH($F239,SubsidieTabel!$Q$1:$Q$9,0),IFERROR(MATCH(Methode_Keuze,SubsidieTabel!$Q$1:$T$1,0),2))&lt;&gt;1=TRUE,"ja",""),"")</f>
        <v/>
      </c>
    </row>
    <row r="240" spans="1:27" ht="15" customHeight="1" x14ac:dyDescent="0.25">
      <c r="A240" s="85"/>
      <c r="B240" s="217" t="str">
        <f>IF(A240&lt;&gt;"",_xlfn.MAXIFS($B$1:B239,$A$1:A239,A240)+1,"")</f>
        <v/>
      </c>
      <c r="C240" s="50"/>
      <c r="D240" s="50"/>
      <c r="E240" s="50"/>
      <c r="F240" s="50"/>
      <c r="G240" s="280"/>
      <c r="H240" s="293"/>
      <c r="I240" s="292"/>
      <c r="J240" s="292"/>
      <c r="K240" s="200"/>
      <c r="L240" s="200"/>
      <c r="M240" s="89" t="str">
        <f>IFERROR(VLOOKUP(H240,Lijsten!$H$1:$I$100,2,0),"")</f>
        <v/>
      </c>
      <c r="N240" s="89" t="str" cm="1">
        <f t="array" ref="N240">IFERROR(_xlfn.IFS(AND(LEFT(F240,6)="Arbeid",RIGHT(F240,3)&lt;&gt;"IKS"),IFERROR(VLOOKUP($G240,Tb_KostenTypen[],2,0),"tarief"),RIGHT(F240,3)="IKS","Uurtarief",LEFT(F240,6)="Arbeid","Uurtarief",AND(LEFT(F240,8)="Bijdrage",RIGHT(F240,15)="(vrijwilligers)"),"Vast tarief"),"")</f>
        <v/>
      </c>
      <c r="O240" s="90"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0"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1"/>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59"/>
      <c r="Z240" s="49"/>
      <c r="AA240" s="37" t="str" cm="1">
        <f t="array" ref="AA240">IFERROR(IF(INDEX(SubsidieTabel!$Q$1:$T$9,MATCH($F240,SubsidieTabel!$Q$1:$Q$9,0),IFERROR(MATCH(Methode_Keuze,SubsidieTabel!$Q$1:$T$1,0),2))&lt;&gt;1=TRUE,"ja",""),"")</f>
        <v/>
      </c>
    </row>
    <row r="241" spans="1:27" ht="15" customHeight="1" x14ac:dyDescent="0.25">
      <c r="A241" s="85"/>
      <c r="B241" s="217" t="str">
        <f>IF(A241&lt;&gt;"",_xlfn.MAXIFS($B$1:B240,$A$1:A240,A241)+1,"")</f>
        <v/>
      </c>
      <c r="C241" s="50"/>
      <c r="D241" s="50"/>
      <c r="E241" s="50"/>
      <c r="F241" s="50"/>
      <c r="G241" s="280"/>
      <c r="H241" s="293"/>
      <c r="I241" s="292"/>
      <c r="J241" s="292"/>
      <c r="K241" s="200"/>
      <c r="L241" s="200"/>
      <c r="M241" s="89" t="str">
        <f>IFERROR(VLOOKUP(H241,Lijsten!$H$1:$I$100,2,0),"")</f>
        <v/>
      </c>
      <c r="N241" s="89" t="str" cm="1">
        <f t="array" ref="N241">IFERROR(_xlfn.IFS(AND(LEFT(F241,6)="Arbeid",RIGHT(F241,3)&lt;&gt;"IKS"),IFERROR(VLOOKUP($G241,Tb_KostenTypen[],2,0),"tarief"),RIGHT(F241,3)="IKS","Uurtarief",LEFT(F241,6)="Arbeid","Uurtarief",AND(LEFT(F241,8)="Bijdrage",RIGHT(F241,15)="(vrijwilligers)"),"Vast tarief"),"")</f>
        <v/>
      </c>
      <c r="O241" s="90"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0"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1"/>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59"/>
      <c r="Z241" s="49"/>
      <c r="AA241" s="37" t="str" cm="1">
        <f t="array" ref="AA241">IFERROR(IF(INDEX(SubsidieTabel!$Q$1:$T$9,MATCH($F241,SubsidieTabel!$Q$1:$Q$9,0),IFERROR(MATCH(Methode_Keuze,SubsidieTabel!$Q$1:$T$1,0),2))&lt;&gt;1=TRUE,"ja",""),"")</f>
        <v/>
      </c>
    </row>
    <row r="242" spans="1:27" ht="15" customHeight="1" x14ac:dyDescent="0.25">
      <c r="A242" s="85"/>
      <c r="B242" s="217" t="str">
        <f>IF(A242&lt;&gt;"",_xlfn.MAXIFS($B$1:B241,$A$1:A241,A242)+1,"")</f>
        <v/>
      </c>
      <c r="C242" s="50"/>
      <c r="D242" s="50"/>
      <c r="E242" s="50"/>
      <c r="F242" s="50"/>
      <c r="G242" s="280"/>
      <c r="H242" s="293"/>
      <c r="I242" s="292"/>
      <c r="J242" s="292"/>
      <c r="K242" s="200"/>
      <c r="L242" s="200"/>
      <c r="M242" s="89" t="str">
        <f>IFERROR(VLOOKUP(H242,Lijsten!$H$1:$I$100,2,0),"")</f>
        <v/>
      </c>
      <c r="N242" s="89" t="str" cm="1">
        <f t="array" ref="N242">IFERROR(_xlfn.IFS(AND(LEFT(F242,6)="Arbeid",RIGHT(F242,3)&lt;&gt;"IKS"),IFERROR(VLOOKUP($G242,Tb_KostenTypen[],2,0),"tarief"),RIGHT(F242,3)="IKS","Uurtarief",LEFT(F242,6)="Arbeid","Uurtarief",AND(LEFT(F242,8)="Bijdrage",RIGHT(F242,15)="(vrijwilligers)"),"Vast tarief"),"")</f>
        <v/>
      </c>
      <c r="O242" s="90"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0"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1"/>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59"/>
      <c r="Z242" s="49"/>
      <c r="AA242" s="37" t="str" cm="1">
        <f t="array" ref="AA242">IFERROR(IF(INDEX(SubsidieTabel!$Q$1:$T$9,MATCH($F242,SubsidieTabel!$Q$1:$Q$9,0),IFERROR(MATCH(Methode_Keuze,SubsidieTabel!$Q$1:$T$1,0),2))&lt;&gt;1=TRUE,"ja",""),"")</f>
        <v/>
      </c>
    </row>
    <row r="243" spans="1:27" ht="15" customHeight="1" x14ac:dyDescent="0.25">
      <c r="A243" s="85"/>
      <c r="B243" s="217" t="str">
        <f>IF(A243&lt;&gt;"",_xlfn.MAXIFS($B$1:B242,$A$1:A242,A243)+1,"")</f>
        <v/>
      </c>
      <c r="C243" s="50"/>
      <c r="D243" s="50"/>
      <c r="E243" s="50"/>
      <c r="F243" s="50"/>
      <c r="G243" s="280"/>
      <c r="H243" s="293"/>
      <c r="I243" s="292"/>
      <c r="J243" s="292"/>
      <c r="K243" s="200"/>
      <c r="L243" s="200"/>
      <c r="M243" s="89" t="str">
        <f>IFERROR(VLOOKUP(H243,Lijsten!$H$1:$I$100,2,0),"")</f>
        <v/>
      </c>
      <c r="N243" s="89" t="str" cm="1">
        <f t="array" ref="N243">IFERROR(_xlfn.IFS(AND(LEFT(F243,6)="Arbeid",RIGHT(F243,3)&lt;&gt;"IKS"),IFERROR(VLOOKUP($G243,Tb_KostenTypen[],2,0),"tarief"),RIGHT(F243,3)="IKS","Uurtarief",LEFT(F243,6)="Arbeid","Uurtarief",AND(LEFT(F243,8)="Bijdrage",RIGHT(F243,15)="(vrijwilligers)"),"Vast tarief"),"")</f>
        <v/>
      </c>
      <c r="O243" s="90"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0"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1"/>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59"/>
      <c r="Z243" s="49"/>
      <c r="AA243" s="37" t="str" cm="1">
        <f t="array" ref="AA243">IFERROR(IF(INDEX(SubsidieTabel!$Q$1:$T$9,MATCH($F243,SubsidieTabel!$Q$1:$Q$9,0),IFERROR(MATCH(Methode_Keuze,SubsidieTabel!$Q$1:$T$1,0),2))&lt;&gt;1=TRUE,"ja",""),"")</f>
        <v/>
      </c>
    </row>
    <row r="244" spans="1:27" ht="15" customHeight="1" x14ac:dyDescent="0.25">
      <c r="A244" s="85"/>
      <c r="B244" s="217" t="str">
        <f>IF(A244&lt;&gt;"",_xlfn.MAXIFS($B$1:B243,$A$1:A243,A244)+1,"")</f>
        <v/>
      </c>
      <c r="C244" s="50"/>
      <c r="D244" s="50"/>
      <c r="E244" s="50"/>
      <c r="F244" s="50"/>
      <c r="G244" s="280"/>
      <c r="H244" s="293"/>
      <c r="I244" s="292"/>
      <c r="J244" s="292"/>
      <c r="K244" s="200"/>
      <c r="L244" s="200"/>
      <c r="M244" s="89" t="str">
        <f>IFERROR(VLOOKUP(H244,Lijsten!$H$1:$I$100,2,0),"")</f>
        <v/>
      </c>
      <c r="N244" s="89" t="str" cm="1">
        <f t="array" ref="N244">IFERROR(_xlfn.IFS(AND(LEFT(F244,6)="Arbeid",RIGHT(F244,3)&lt;&gt;"IKS"),IFERROR(VLOOKUP($G244,Tb_KostenTypen[],2,0),"tarief"),RIGHT(F244,3)="IKS","Uurtarief",LEFT(F244,6)="Arbeid","Uurtarief",AND(LEFT(F244,8)="Bijdrage",RIGHT(F244,15)="(vrijwilligers)"),"Vast tarief"),"")</f>
        <v/>
      </c>
      <c r="O244" s="90"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0"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1"/>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59"/>
      <c r="Z244" s="49"/>
      <c r="AA244" s="37" t="str" cm="1">
        <f t="array" ref="AA244">IFERROR(IF(INDEX(SubsidieTabel!$Q$1:$T$9,MATCH($F244,SubsidieTabel!$Q$1:$Q$9,0),IFERROR(MATCH(Methode_Keuze,SubsidieTabel!$Q$1:$T$1,0),2))&lt;&gt;1=TRUE,"ja",""),"")</f>
        <v/>
      </c>
    </row>
    <row r="245" spans="1:27" ht="15" customHeight="1" x14ac:dyDescent="0.25">
      <c r="A245" s="85"/>
      <c r="B245" s="217" t="str">
        <f>IF(A245&lt;&gt;"",_xlfn.MAXIFS($B$1:B244,$A$1:A244,A245)+1,"")</f>
        <v/>
      </c>
      <c r="C245" s="50"/>
      <c r="D245" s="50"/>
      <c r="E245" s="50"/>
      <c r="F245" s="50"/>
      <c r="G245" s="280"/>
      <c r="H245" s="293"/>
      <c r="I245" s="292"/>
      <c r="J245" s="292"/>
      <c r="K245" s="200"/>
      <c r="L245" s="200"/>
      <c r="M245" s="89" t="str">
        <f>IFERROR(VLOOKUP(H245,Lijsten!$H$1:$I$100,2,0),"")</f>
        <v/>
      </c>
      <c r="N245" s="89" t="str" cm="1">
        <f t="array" ref="N245">IFERROR(_xlfn.IFS(AND(LEFT(F245,6)="Arbeid",RIGHT(F245,3)&lt;&gt;"IKS"),IFERROR(VLOOKUP($G245,Tb_KostenTypen[],2,0),"tarief"),RIGHT(F245,3)="IKS","Uurtarief",LEFT(F245,6)="Arbeid","Uurtarief",AND(LEFT(F245,8)="Bijdrage",RIGHT(F245,15)="(vrijwilligers)"),"Vast tarief"),"")</f>
        <v/>
      </c>
      <c r="O245" s="90"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0"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1"/>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59"/>
      <c r="Z245" s="49"/>
      <c r="AA245" s="37" t="str" cm="1">
        <f t="array" ref="AA245">IFERROR(IF(INDEX(SubsidieTabel!$Q$1:$T$9,MATCH($F245,SubsidieTabel!$Q$1:$Q$9,0),IFERROR(MATCH(Methode_Keuze,SubsidieTabel!$Q$1:$T$1,0),2))&lt;&gt;1=TRUE,"ja",""),"")</f>
        <v/>
      </c>
    </row>
    <row r="246" spans="1:27" ht="15" customHeight="1" x14ac:dyDescent="0.25">
      <c r="A246" s="85"/>
      <c r="B246" s="217" t="str">
        <f>IF(A246&lt;&gt;"",_xlfn.MAXIFS($B$1:B245,$A$1:A245,A246)+1,"")</f>
        <v/>
      </c>
      <c r="C246" s="50"/>
      <c r="D246" s="50"/>
      <c r="E246" s="50"/>
      <c r="F246" s="50"/>
      <c r="G246" s="280"/>
      <c r="H246" s="293"/>
      <c r="I246" s="292"/>
      <c r="J246" s="292"/>
      <c r="K246" s="200"/>
      <c r="L246" s="200"/>
      <c r="M246" s="89" t="str">
        <f>IFERROR(VLOOKUP(H246,Lijsten!$H$1:$I$100,2,0),"")</f>
        <v/>
      </c>
      <c r="N246" s="89" t="str" cm="1">
        <f t="array" ref="N246">IFERROR(_xlfn.IFS(AND(LEFT(F246,6)="Arbeid",RIGHT(F246,3)&lt;&gt;"IKS"),IFERROR(VLOOKUP($G246,Tb_KostenTypen[],2,0),"tarief"),RIGHT(F246,3)="IKS","Uurtarief",LEFT(F246,6)="Arbeid","Uurtarief",AND(LEFT(F246,8)="Bijdrage",RIGHT(F246,15)="(vrijwilligers)"),"Vast tarief"),"")</f>
        <v/>
      </c>
      <c r="O246" s="90"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0"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1"/>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59"/>
      <c r="Z246" s="49"/>
      <c r="AA246" s="37" t="str" cm="1">
        <f t="array" ref="AA246">IFERROR(IF(INDEX(SubsidieTabel!$Q$1:$T$9,MATCH($F246,SubsidieTabel!$Q$1:$Q$9,0),IFERROR(MATCH(Methode_Keuze,SubsidieTabel!$Q$1:$T$1,0),2))&lt;&gt;1=TRUE,"ja",""),"")</f>
        <v/>
      </c>
    </row>
    <row r="247" spans="1:27" ht="15" customHeight="1" x14ac:dyDescent="0.25">
      <c r="A247" s="85"/>
      <c r="B247" s="217" t="str">
        <f>IF(A247&lt;&gt;"",_xlfn.MAXIFS($B$1:B246,$A$1:A246,A247)+1,"")</f>
        <v/>
      </c>
      <c r="C247" s="50"/>
      <c r="D247" s="50"/>
      <c r="E247" s="50"/>
      <c r="F247" s="50"/>
      <c r="G247" s="280"/>
      <c r="H247" s="293"/>
      <c r="I247" s="292"/>
      <c r="J247" s="292"/>
      <c r="K247" s="200"/>
      <c r="L247" s="200"/>
      <c r="M247" s="89" t="str">
        <f>IFERROR(VLOOKUP(H247,Lijsten!$H$1:$I$100,2,0),"")</f>
        <v/>
      </c>
      <c r="N247" s="89" t="str" cm="1">
        <f t="array" ref="N247">IFERROR(_xlfn.IFS(AND(LEFT(F247,6)="Arbeid",RIGHT(F247,3)&lt;&gt;"IKS"),IFERROR(VLOOKUP($G247,Tb_KostenTypen[],2,0),"tarief"),RIGHT(F247,3)="IKS","Uurtarief",LEFT(F247,6)="Arbeid","Uurtarief",AND(LEFT(F247,8)="Bijdrage",RIGHT(F247,15)="(vrijwilligers)"),"Vast tarief"),"")</f>
        <v/>
      </c>
      <c r="O247" s="90"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0"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1"/>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59"/>
      <c r="Z247" s="49"/>
      <c r="AA247" s="37" t="str" cm="1">
        <f t="array" ref="AA247">IFERROR(IF(INDEX(SubsidieTabel!$Q$1:$T$9,MATCH($F247,SubsidieTabel!$Q$1:$Q$9,0),IFERROR(MATCH(Methode_Keuze,SubsidieTabel!$Q$1:$T$1,0),2))&lt;&gt;1=TRUE,"ja",""),"")</f>
        <v/>
      </c>
    </row>
    <row r="248" spans="1:27" ht="15" customHeight="1" x14ac:dyDescent="0.25">
      <c r="A248" s="85"/>
      <c r="B248" s="217" t="str">
        <f>IF(A248&lt;&gt;"",_xlfn.MAXIFS($B$1:B247,$A$1:A247,A248)+1,"")</f>
        <v/>
      </c>
      <c r="C248" s="50"/>
      <c r="D248" s="50"/>
      <c r="E248" s="50"/>
      <c r="F248" s="50"/>
      <c r="G248" s="280"/>
      <c r="H248" s="293"/>
      <c r="I248" s="292"/>
      <c r="J248" s="292"/>
      <c r="K248" s="200"/>
      <c r="L248" s="200"/>
      <c r="M248" s="89" t="str">
        <f>IFERROR(VLOOKUP(H248,Lijsten!$H$1:$I$100,2,0),"")</f>
        <v/>
      </c>
      <c r="N248" s="89" t="str" cm="1">
        <f t="array" ref="N248">IFERROR(_xlfn.IFS(AND(LEFT(F248,6)="Arbeid",RIGHT(F248,3)&lt;&gt;"IKS"),IFERROR(VLOOKUP($G248,Tb_KostenTypen[],2,0),"tarief"),RIGHT(F248,3)="IKS","Uurtarief",LEFT(F248,6)="Arbeid","Uurtarief",AND(LEFT(F248,8)="Bijdrage",RIGHT(F248,15)="(vrijwilligers)"),"Vast tarief"),"")</f>
        <v/>
      </c>
      <c r="O248" s="90"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0"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1"/>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59"/>
      <c r="Z248" s="49"/>
      <c r="AA248" s="37" t="str" cm="1">
        <f t="array" ref="AA248">IFERROR(IF(INDEX(SubsidieTabel!$Q$1:$T$9,MATCH($F248,SubsidieTabel!$Q$1:$Q$9,0),IFERROR(MATCH(Methode_Keuze,SubsidieTabel!$Q$1:$T$1,0),2))&lt;&gt;1=TRUE,"ja",""),"")</f>
        <v/>
      </c>
    </row>
    <row r="249" spans="1:27" ht="15" customHeight="1" x14ac:dyDescent="0.25">
      <c r="A249" s="85"/>
      <c r="B249" s="217" t="str">
        <f>IF(A249&lt;&gt;"",_xlfn.MAXIFS($B$1:B248,$A$1:A248,A249)+1,"")</f>
        <v/>
      </c>
      <c r="C249" s="50"/>
      <c r="D249" s="50"/>
      <c r="E249" s="50"/>
      <c r="F249" s="50"/>
      <c r="G249" s="280"/>
      <c r="H249" s="293"/>
      <c r="I249" s="292"/>
      <c r="J249" s="292"/>
      <c r="K249" s="200"/>
      <c r="L249" s="200"/>
      <c r="M249" s="89" t="str">
        <f>IFERROR(VLOOKUP(H249,Lijsten!$H$1:$I$100,2,0),"")</f>
        <v/>
      </c>
      <c r="N249" s="89" t="str" cm="1">
        <f t="array" ref="N249">IFERROR(_xlfn.IFS(AND(LEFT(F249,6)="Arbeid",RIGHT(F249,3)&lt;&gt;"IKS"),IFERROR(VLOOKUP($G249,Tb_KostenTypen[],2,0),"tarief"),RIGHT(F249,3)="IKS","Uurtarief",LEFT(F249,6)="Arbeid","Uurtarief",AND(LEFT(F249,8)="Bijdrage",RIGHT(F249,15)="(vrijwilligers)"),"Vast tarief"),"")</f>
        <v/>
      </c>
      <c r="O249" s="90"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0"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1"/>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59"/>
      <c r="Z249" s="49"/>
      <c r="AA249" s="37" t="str" cm="1">
        <f t="array" ref="AA249">IFERROR(IF(INDEX(SubsidieTabel!$Q$1:$T$9,MATCH($F249,SubsidieTabel!$Q$1:$Q$9,0),IFERROR(MATCH(Methode_Keuze,SubsidieTabel!$Q$1:$T$1,0),2))&lt;&gt;1=TRUE,"ja",""),"")</f>
        <v/>
      </c>
    </row>
    <row r="250" spans="1:27" ht="15" customHeight="1" x14ac:dyDescent="0.25">
      <c r="A250" s="85"/>
      <c r="B250" s="217" t="str">
        <f>IF(A250&lt;&gt;"",_xlfn.MAXIFS($B$1:B249,$A$1:A249,A250)+1,"")</f>
        <v/>
      </c>
      <c r="C250" s="50"/>
      <c r="D250" s="50"/>
      <c r="E250" s="50"/>
      <c r="F250" s="50"/>
      <c r="G250" s="280"/>
      <c r="H250" s="293"/>
      <c r="I250" s="292"/>
      <c r="J250" s="292"/>
      <c r="K250" s="200"/>
      <c r="L250" s="200"/>
      <c r="M250" s="89" t="str">
        <f>IFERROR(VLOOKUP(H250,Lijsten!$H$1:$I$100,2,0),"")</f>
        <v/>
      </c>
      <c r="N250" s="89" t="str" cm="1">
        <f t="array" ref="N250">IFERROR(_xlfn.IFS(AND(LEFT(F250,6)="Arbeid",RIGHT(F250,3)&lt;&gt;"IKS"),IFERROR(VLOOKUP($G250,Tb_KostenTypen[],2,0),"tarief"),RIGHT(F250,3)="IKS","Uurtarief",LEFT(F250,6)="Arbeid","Uurtarief",AND(LEFT(F250,8)="Bijdrage",RIGHT(F250,15)="(vrijwilligers)"),"Vast tarief"),"")</f>
        <v/>
      </c>
      <c r="O250" s="90"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0"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1"/>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59"/>
      <c r="Z250" s="49"/>
      <c r="AA250" s="37" t="str" cm="1">
        <f t="array" ref="AA250">IFERROR(IF(INDEX(SubsidieTabel!$Q$1:$T$9,MATCH($F250,SubsidieTabel!$Q$1:$Q$9,0),IFERROR(MATCH(Methode_Keuze,SubsidieTabel!$Q$1:$T$1,0),2))&lt;&gt;1=TRUE,"ja",""),"")</f>
        <v/>
      </c>
    </row>
    <row r="251" spans="1:27" ht="15" customHeight="1" x14ac:dyDescent="0.25">
      <c r="A251" s="85"/>
      <c r="B251" s="217" t="str">
        <f>IF(A251&lt;&gt;"",_xlfn.MAXIFS($B$1:B250,$A$1:A250,A251)+1,"")</f>
        <v/>
      </c>
      <c r="C251" s="50"/>
      <c r="D251" s="50"/>
      <c r="E251" s="50"/>
      <c r="F251" s="50"/>
      <c r="G251" s="280"/>
      <c r="H251" s="293"/>
      <c r="I251" s="292"/>
      <c r="J251" s="292"/>
      <c r="K251" s="200"/>
      <c r="L251" s="200"/>
      <c r="M251" s="89" t="str">
        <f>IFERROR(VLOOKUP(H251,Lijsten!$H$1:$I$100,2,0),"")</f>
        <v/>
      </c>
      <c r="N251" s="89" t="str" cm="1">
        <f t="array" ref="N251">IFERROR(_xlfn.IFS(AND(LEFT(F251,6)="Arbeid",RIGHT(F251,3)&lt;&gt;"IKS"),IFERROR(VLOOKUP($G251,Tb_KostenTypen[],2,0),"tarief"),RIGHT(F251,3)="IKS","Uurtarief",LEFT(F251,6)="Arbeid","Uurtarief",AND(LEFT(F251,8)="Bijdrage",RIGHT(F251,15)="(vrijwilligers)"),"Vast tarief"),"")</f>
        <v/>
      </c>
      <c r="O251" s="90"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0"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1"/>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59"/>
      <c r="Z251" s="49"/>
      <c r="AA251" s="37" t="str" cm="1">
        <f t="array" ref="AA251">IFERROR(IF(INDEX(SubsidieTabel!$Q$1:$T$9,MATCH($F251,SubsidieTabel!$Q$1:$Q$9,0),IFERROR(MATCH(Methode_Keuze,SubsidieTabel!$Q$1:$T$1,0),2))&lt;&gt;1=TRUE,"ja",""),"")</f>
        <v/>
      </c>
    </row>
    <row r="252" spans="1:27" ht="15" customHeight="1" x14ac:dyDescent="0.25">
      <c r="A252" s="85"/>
      <c r="B252" s="217" t="str">
        <f>IF(A252&lt;&gt;"",_xlfn.MAXIFS($B$1:B251,$A$1:A251,A252)+1,"")</f>
        <v/>
      </c>
      <c r="C252" s="50"/>
      <c r="D252" s="50"/>
      <c r="E252" s="50"/>
      <c r="F252" s="50"/>
      <c r="G252" s="280"/>
      <c r="H252" s="293"/>
      <c r="I252" s="292"/>
      <c r="J252" s="292"/>
      <c r="K252" s="200"/>
      <c r="L252" s="200"/>
      <c r="M252" s="89" t="str">
        <f>IFERROR(VLOOKUP(H252,Lijsten!$H$1:$I$100,2,0),"")</f>
        <v/>
      </c>
      <c r="N252" s="89" t="str" cm="1">
        <f t="array" ref="N252">IFERROR(_xlfn.IFS(AND(LEFT(F252,6)="Arbeid",RIGHT(F252,3)&lt;&gt;"IKS"),IFERROR(VLOOKUP($G252,Tb_KostenTypen[],2,0),"tarief"),RIGHT(F252,3)="IKS","Uurtarief",LEFT(F252,6)="Arbeid","Uurtarief",AND(LEFT(F252,8)="Bijdrage",RIGHT(F252,15)="(vrijwilligers)"),"Vast tarief"),"")</f>
        <v/>
      </c>
      <c r="O252" s="90"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0"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1"/>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59"/>
      <c r="Z252" s="49"/>
      <c r="AA252" s="37" t="str" cm="1">
        <f t="array" ref="AA252">IFERROR(IF(INDEX(SubsidieTabel!$Q$1:$T$9,MATCH($F252,SubsidieTabel!$Q$1:$Q$9,0),IFERROR(MATCH(Methode_Keuze,SubsidieTabel!$Q$1:$T$1,0),2))&lt;&gt;1=TRUE,"ja",""),"")</f>
        <v/>
      </c>
    </row>
    <row r="253" spans="1:27" ht="15" customHeight="1" x14ac:dyDescent="0.25">
      <c r="A253" s="85"/>
      <c r="B253" s="217" t="str">
        <f>IF(A253&lt;&gt;"",_xlfn.MAXIFS($B$1:B252,$A$1:A252,A253)+1,"")</f>
        <v/>
      </c>
      <c r="C253" s="50"/>
      <c r="D253" s="50"/>
      <c r="E253" s="50"/>
      <c r="F253" s="50"/>
      <c r="G253" s="280"/>
      <c r="H253" s="293"/>
      <c r="I253" s="292"/>
      <c r="J253" s="292"/>
      <c r="K253" s="200"/>
      <c r="L253" s="200"/>
      <c r="M253" s="89" t="str">
        <f>IFERROR(VLOOKUP(H253,Lijsten!$H$1:$I$100,2,0),"")</f>
        <v/>
      </c>
      <c r="N253" s="89" t="str" cm="1">
        <f t="array" ref="N253">IFERROR(_xlfn.IFS(AND(LEFT(F253,6)="Arbeid",RIGHT(F253,3)&lt;&gt;"IKS"),IFERROR(VLOOKUP($G253,Tb_KostenTypen[],2,0),"tarief"),RIGHT(F253,3)="IKS","Uurtarief",LEFT(F253,6)="Arbeid","Uurtarief",AND(LEFT(F253,8)="Bijdrage",RIGHT(F253,15)="(vrijwilligers)"),"Vast tarief"),"")</f>
        <v/>
      </c>
      <c r="O253" s="90"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0"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1"/>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59"/>
      <c r="Z253" s="49"/>
      <c r="AA253" s="37" t="str" cm="1">
        <f t="array" ref="AA253">IFERROR(IF(INDEX(SubsidieTabel!$Q$1:$T$9,MATCH($F253,SubsidieTabel!$Q$1:$Q$9,0),IFERROR(MATCH(Methode_Keuze,SubsidieTabel!$Q$1:$T$1,0),2))&lt;&gt;1=TRUE,"ja",""),"")</f>
        <v/>
      </c>
    </row>
    <row r="254" spans="1:27" ht="15" customHeight="1" x14ac:dyDescent="0.25">
      <c r="A254" s="85"/>
      <c r="B254" s="217" t="str">
        <f>IF(A254&lt;&gt;"",_xlfn.MAXIFS($B$1:B253,$A$1:A253,A254)+1,"")</f>
        <v/>
      </c>
      <c r="C254" s="50"/>
      <c r="D254" s="50"/>
      <c r="E254" s="50"/>
      <c r="F254" s="50"/>
      <c r="G254" s="280"/>
      <c r="H254" s="293"/>
      <c r="I254" s="292"/>
      <c r="J254" s="292"/>
      <c r="K254" s="200"/>
      <c r="L254" s="200"/>
      <c r="M254" s="89" t="str">
        <f>IFERROR(VLOOKUP(H254,Lijsten!$H$1:$I$100,2,0),"")</f>
        <v/>
      </c>
      <c r="N254" s="89" t="str" cm="1">
        <f t="array" ref="N254">IFERROR(_xlfn.IFS(AND(LEFT(F254,6)="Arbeid",RIGHT(F254,3)&lt;&gt;"IKS"),IFERROR(VLOOKUP($G254,Tb_KostenTypen[],2,0),"tarief"),RIGHT(F254,3)="IKS","Uurtarief",LEFT(F254,6)="Arbeid","Uurtarief",AND(LEFT(F254,8)="Bijdrage",RIGHT(F254,15)="(vrijwilligers)"),"Vast tarief"),"")</f>
        <v/>
      </c>
      <c r="O254" s="90"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0"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1"/>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59"/>
      <c r="Z254" s="49"/>
      <c r="AA254" s="37" t="str" cm="1">
        <f t="array" ref="AA254">IFERROR(IF(INDEX(SubsidieTabel!$Q$1:$T$9,MATCH($F254,SubsidieTabel!$Q$1:$Q$9,0),IFERROR(MATCH(Methode_Keuze,SubsidieTabel!$Q$1:$T$1,0),2))&lt;&gt;1=TRUE,"ja",""),"")</f>
        <v/>
      </c>
    </row>
    <row r="255" spans="1:27" ht="15" customHeight="1" x14ac:dyDescent="0.25">
      <c r="A255" s="85"/>
      <c r="B255" s="217" t="str">
        <f>IF(A255&lt;&gt;"",_xlfn.MAXIFS($B$1:B254,$A$1:A254,A255)+1,"")</f>
        <v/>
      </c>
      <c r="C255" s="50"/>
      <c r="D255" s="50"/>
      <c r="E255" s="50"/>
      <c r="F255" s="50"/>
      <c r="G255" s="280"/>
      <c r="H255" s="293"/>
      <c r="I255" s="292"/>
      <c r="J255" s="292"/>
      <c r="K255" s="200"/>
      <c r="L255" s="200"/>
      <c r="M255" s="89" t="str">
        <f>IFERROR(VLOOKUP(H255,Lijsten!$H$1:$I$100,2,0),"")</f>
        <v/>
      </c>
      <c r="N255" s="89" t="str" cm="1">
        <f t="array" ref="N255">IFERROR(_xlfn.IFS(AND(LEFT(F255,6)="Arbeid",RIGHT(F255,3)&lt;&gt;"IKS"),IFERROR(VLOOKUP($G255,Tb_KostenTypen[],2,0),"tarief"),RIGHT(F255,3)="IKS","Uurtarief",LEFT(F255,6)="Arbeid","Uurtarief",AND(LEFT(F255,8)="Bijdrage",RIGHT(F255,15)="(vrijwilligers)"),"Vast tarief"),"")</f>
        <v/>
      </c>
      <c r="O255" s="90"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0"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1"/>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59"/>
      <c r="Z255" s="49"/>
      <c r="AA255" s="37" t="str" cm="1">
        <f t="array" ref="AA255">IFERROR(IF(INDEX(SubsidieTabel!$Q$1:$T$9,MATCH($F255,SubsidieTabel!$Q$1:$Q$9,0),IFERROR(MATCH(Methode_Keuze,SubsidieTabel!$Q$1:$T$1,0),2))&lt;&gt;1=TRUE,"ja",""),"")</f>
        <v/>
      </c>
    </row>
    <row r="256" spans="1:27" ht="15" customHeight="1" x14ac:dyDescent="0.25">
      <c r="A256" s="85"/>
      <c r="B256" s="217" t="str">
        <f>IF(A256&lt;&gt;"",_xlfn.MAXIFS($B$1:B255,$A$1:A255,A256)+1,"")</f>
        <v/>
      </c>
      <c r="C256" s="50"/>
      <c r="D256" s="50"/>
      <c r="E256" s="50"/>
      <c r="F256" s="50"/>
      <c r="G256" s="280"/>
      <c r="H256" s="293"/>
      <c r="I256" s="292"/>
      <c r="J256" s="292"/>
      <c r="K256" s="200"/>
      <c r="L256" s="200"/>
      <c r="M256" s="89" t="str">
        <f>IFERROR(VLOOKUP(H256,Lijsten!$H$1:$I$100,2,0),"")</f>
        <v/>
      </c>
      <c r="N256" s="89" t="str" cm="1">
        <f t="array" ref="N256">IFERROR(_xlfn.IFS(AND(LEFT(F256,6)="Arbeid",RIGHT(F256,3)&lt;&gt;"IKS"),IFERROR(VLOOKUP($G256,Tb_KostenTypen[],2,0),"tarief"),RIGHT(F256,3)="IKS","Uurtarief",LEFT(F256,6)="Arbeid","Uurtarief",AND(LEFT(F256,8)="Bijdrage",RIGHT(F256,15)="(vrijwilligers)"),"Vast tarief"),"")</f>
        <v/>
      </c>
      <c r="O256" s="90"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0"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1"/>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59"/>
      <c r="Z256" s="49"/>
      <c r="AA256" s="37" t="str" cm="1">
        <f t="array" ref="AA256">IFERROR(IF(INDEX(SubsidieTabel!$Q$1:$T$9,MATCH($F256,SubsidieTabel!$Q$1:$Q$9,0),IFERROR(MATCH(Methode_Keuze,SubsidieTabel!$Q$1:$T$1,0),2))&lt;&gt;1=TRUE,"ja",""),"")</f>
        <v/>
      </c>
    </row>
    <row r="257" spans="1:27" ht="15" customHeight="1" x14ac:dyDescent="0.25">
      <c r="A257" s="85"/>
      <c r="B257" s="217" t="str">
        <f>IF(A257&lt;&gt;"",_xlfn.MAXIFS($B$1:B256,$A$1:A256,A257)+1,"")</f>
        <v/>
      </c>
      <c r="C257" s="50"/>
      <c r="D257" s="50"/>
      <c r="E257" s="50"/>
      <c r="F257" s="50"/>
      <c r="G257" s="280"/>
      <c r="H257" s="293"/>
      <c r="I257" s="292"/>
      <c r="J257" s="292"/>
      <c r="K257" s="200"/>
      <c r="L257" s="200"/>
      <c r="M257" s="89" t="str">
        <f>IFERROR(VLOOKUP(H257,Lijsten!$H$1:$I$100,2,0),"")</f>
        <v/>
      </c>
      <c r="N257" s="89" t="str" cm="1">
        <f t="array" ref="N257">IFERROR(_xlfn.IFS(AND(LEFT(F257,6)="Arbeid",RIGHT(F257,3)&lt;&gt;"IKS"),IFERROR(VLOOKUP($G257,Tb_KostenTypen[],2,0),"tarief"),RIGHT(F257,3)="IKS","Uurtarief",LEFT(F257,6)="Arbeid","Uurtarief",AND(LEFT(F257,8)="Bijdrage",RIGHT(F257,15)="(vrijwilligers)"),"Vast tarief"),"")</f>
        <v/>
      </c>
      <c r="O257" s="90"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0"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1"/>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59"/>
      <c r="Z257" s="49"/>
      <c r="AA257" s="37" t="str" cm="1">
        <f t="array" ref="AA257">IFERROR(IF(INDEX(SubsidieTabel!$Q$1:$T$9,MATCH($F257,SubsidieTabel!$Q$1:$Q$9,0),IFERROR(MATCH(Methode_Keuze,SubsidieTabel!$Q$1:$T$1,0),2))&lt;&gt;1=TRUE,"ja",""),"")</f>
        <v/>
      </c>
    </row>
    <row r="258" spans="1:27" ht="15" customHeight="1" x14ac:dyDescent="0.25">
      <c r="A258" s="85"/>
      <c r="B258" s="217" t="str">
        <f>IF(A258&lt;&gt;"",_xlfn.MAXIFS($B$1:B257,$A$1:A257,A258)+1,"")</f>
        <v/>
      </c>
      <c r="C258" s="50"/>
      <c r="D258" s="50"/>
      <c r="E258" s="50"/>
      <c r="F258" s="50"/>
      <c r="G258" s="280"/>
      <c r="H258" s="293"/>
      <c r="I258" s="292"/>
      <c r="J258" s="292"/>
      <c r="K258" s="200"/>
      <c r="L258" s="200"/>
      <c r="M258" s="89" t="str">
        <f>IFERROR(VLOOKUP(H258,Lijsten!$H$1:$I$100,2,0),"")</f>
        <v/>
      </c>
      <c r="N258" s="89" t="str" cm="1">
        <f t="array" ref="N258">IFERROR(_xlfn.IFS(AND(LEFT(F258,6)="Arbeid",RIGHT(F258,3)&lt;&gt;"IKS"),IFERROR(VLOOKUP($G258,Tb_KostenTypen[],2,0),"tarief"),RIGHT(F258,3)="IKS","Uurtarief",LEFT(F258,6)="Arbeid","Uurtarief",AND(LEFT(F258,8)="Bijdrage",RIGHT(F258,15)="(vrijwilligers)"),"Vast tarief"),"")</f>
        <v/>
      </c>
      <c r="O258" s="90"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0"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1"/>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59"/>
      <c r="Z258" s="49"/>
      <c r="AA258" s="37" t="str" cm="1">
        <f t="array" ref="AA258">IFERROR(IF(INDEX(SubsidieTabel!$Q$1:$T$9,MATCH($F258,SubsidieTabel!$Q$1:$Q$9,0),IFERROR(MATCH(Methode_Keuze,SubsidieTabel!$Q$1:$T$1,0),2))&lt;&gt;1=TRUE,"ja",""),"")</f>
        <v/>
      </c>
    </row>
    <row r="259" spans="1:27" ht="15" customHeight="1" x14ac:dyDescent="0.25">
      <c r="A259" s="85"/>
      <c r="B259" s="217" t="str">
        <f>IF(A259&lt;&gt;"",_xlfn.MAXIFS($B$1:B258,$A$1:A258,A259)+1,"")</f>
        <v/>
      </c>
      <c r="C259" s="50"/>
      <c r="D259" s="50"/>
      <c r="E259" s="50"/>
      <c r="F259" s="50"/>
      <c r="G259" s="280"/>
      <c r="H259" s="293"/>
      <c r="I259" s="292"/>
      <c r="J259" s="292"/>
      <c r="K259" s="200"/>
      <c r="L259" s="200"/>
      <c r="M259" s="89" t="str">
        <f>IFERROR(VLOOKUP(H259,Lijsten!$H$1:$I$100,2,0),"")</f>
        <v/>
      </c>
      <c r="N259" s="89" t="str" cm="1">
        <f t="array" ref="N259">IFERROR(_xlfn.IFS(AND(LEFT(F259,6)="Arbeid",RIGHT(F259,3)&lt;&gt;"IKS"),IFERROR(VLOOKUP($G259,Tb_KostenTypen[],2,0),"tarief"),RIGHT(F259,3)="IKS","Uurtarief",LEFT(F259,6)="Arbeid","Uurtarief",AND(LEFT(F259,8)="Bijdrage",RIGHT(F259,15)="(vrijwilligers)"),"Vast tarief"),"")</f>
        <v/>
      </c>
      <c r="O259" s="90"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0"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1"/>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59"/>
      <c r="Z259" s="49"/>
      <c r="AA259" s="37" t="str" cm="1">
        <f t="array" ref="AA259">IFERROR(IF(INDEX(SubsidieTabel!$Q$1:$T$9,MATCH($F259,SubsidieTabel!$Q$1:$Q$9,0),IFERROR(MATCH(Methode_Keuze,SubsidieTabel!$Q$1:$T$1,0),2))&lt;&gt;1=TRUE,"ja",""),"")</f>
        <v/>
      </c>
    </row>
    <row r="260" spans="1:27" ht="15" customHeight="1" x14ac:dyDescent="0.25">
      <c r="A260" s="85"/>
      <c r="B260" s="217" t="str">
        <f>IF(A260&lt;&gt;"",_xlfn.MAXIFS($B$1:B259,$A$1:A259,A260)+1,"")</f>
        <v/>
      </c>
      <c r="C260" s="50"/>
      <c r="D260" s="50"/>
      <c r="E260" s="50"/>
      <c r="F260" s="50"/>
      <c r="G260" s="280"/>
      <c r="H260" s="293"/>
      <c r="I260" s="292"/>
      <c r="J260" s="292"/>
      <c r="K260" s="200"/>
      <c r="L260" s="200"/>
      <c r="M260" s="89" t="str">
        <f>IFERROR(VLOOKUP(H260,Lijsten!$H$1:$I$100,2,0),"")</f>
        <v/>
      </c>
      <c r="N260" s="89" t="str" cm="1">
        <f t="array" ref="N260">IFERROR(_xlfn.IFS(AND(LEFT(F260,6)="Arbeid",RIGHT(F260,3)&lt;&gt;"IKS"),IFERROR(VLOOKUP($G260,Tb_KostenTypen[],2,0),"tarief"),RIGHT(F260,3)="IKS","Uurtarief",LEFT(F260,6)="Arbeid","Uurtarief",AND(LEFT(F260,8)="Bijdrage",RIGHT(F260,15)="(vrijwilligers)"),"Vast tarief"),"")</f>
        <v/>
      </c>
      <c r="O260" s="90"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0"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1"/>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59"/>
      <c r="Z260" s="49"/>
      <c r="AA260" s="37" t="str" cm="1">
        <f t="array" ref="AA260">IFERROR(IF(INDEX(SubsidieTabel!$Q$1:$T$9,MATCH($F260,SubsidieTabel!$Q$1:$Q$9,0),IFERROR(MATCH(Methode_Keuze,SubsidieTabel!$Q$1:$T$1,0),2))&lt;&gt;1=TRUE,"ja",""),"")</f>
        <v/>
      </c>
    </row>
    <row r="261" spans="1:27" ht="15" customHeight="1" x14ac:dyDescent="0.25">
      <c r="A261" s="85"/>
      <c r="B261" s="217" t="str">
        <f>IF(A261&lt;&gt;"",_xlfn.MAXIFS($B$1:B260,$A$1:A260,A261)+1,"")</f>
        <v/>
      </c>
      <c r="C261" s="50"/>
      <c r="D261" s="50"/>
      <c r="E261" s="50"/>
      <c r="F261" s="50"/>
      <c r="G261" s="280"/>
      <c r="H261" s="293"/>
      <c r="I261" s="292"/>
      <c r="J261" s="292"/>
      <c r="K261" s="200"/>
      <c r="L261" s="200"/>
      <c r="M261" s="89" t="str">
        <f>IFERROR(VLOOKUP(H261,Lijsten!$H$1:$I$100,2,0),"")</f>
        <v/>
      </c>
      <c r="N261" s="89" t="str" cm="1">
        <f t="array" ref="N261">IFERROR(_xlfn.IFS(AND(LEFT(F261,6)="Arbeid",RIGHT(F261,3)&lt;&gt;"IKS"),IFERROR(VLOOKUP($G261,Tb_KostenTypen[],2,0),"tarief"),RIGHT(F261,3)="IKS","Uurtarief",LEFT(F261,6)="Arbeid","Uurtarief",AND(LEFT(F261,8)="Bijdrage",RIGHT(F261,15)="(vrijwilligers)"),"Vast tarief"),"")</f>
        <v/>
      </c>
      <c r="O261" s="90"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0"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1"/>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59"/>
      <c r="Z261" s="49"/>
      <c r="AA261" s="37" t="str" cm="1">
        <f t="array" ref="AA261">IFERROR(IF(INDEX(SubsidieTabel!$Q$1:$T$9,MATCH($F261,SubsidieTabel!$Q$1:$Q$9,0),IFERROR(MATCH(Methode_Keuze,SubsidieTabel!$Q$1:$T$1,0),2))&lt;&gt;1=TRUE,"ja",""),"")</f>
        <v/>
      </c>
    </row>
    <row r="262" spans="1:27" ht="15" customHeight="1" x14ac:dyDescent="0.25">
      <c r="A262" s="85"/>
      <c r="B262" s="217" t="str">
        <f>IF(A262&lt;&gt;"",_xlfn.MAXIFS($B$1:B261,$A$1:A261,A262)+1,"")</f>
        <v/>
      </c>
      <c r="C262" s="50"/>
      <c r="D262" s="50"/>
      <c r="E262" s="50"/>
      <c r="F262" s="50"/>
      <c r="G262" s="280"/>
      <c r="H262" s="293"/>
      <c r="I262" s="292"/>
      <c r="J262" s="292"/>
      <c r="K262" s="200"/>
      <c r="L262" s="200"/>
      <c r="M262" s="89" t="str">
        <f>IFERROR(VLOOKUP(H262,Lijsten!$H$1:$I$100,2,0),"")</f>
        <v/>
      </c>
      <c r="N262" s="89" t="str" cm="1">
        <f t="array" ref="N262">IFERROR(_xlfn.IFS(AND(LEFT(F262,6)="Arbeid",RIGHT(F262,3)&lt;&gt;"IKS"),IFERROR(VLOOKUP($G262,Tb_KostenTypen[],2,0),"tarief"),RIGHT(F262,3)="IKS","Uurtarief",LEFT(F262,6)="Arbeid","Uurtarief",AND(LEFT(F262,8)="Bijdrage",RIGHT(F262,15)="(vrijwilligers)"),"Vast tarief"),"")</f>
        <v/>
      </c>
      <c r="O262" s="90"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0"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1"/>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59"/>
      <c r="Z262" s="49"/>
      <c r="AA262" s="37" t="str" cm="1">
        <f t="array" ref="AA262">IFERROR(IF(INDEX(SubsidieTabel!$Q$1:$T$9,MATCH($F262,SubsidieTabel!$Q$1:$Q$9,0),IFERROR(MATCH(Methode_Keuze,SubsidieTabel!$Q$1:$T$1,0),2))&lt;&gt;1=TRUE,"ja",""),"")</f>
        <v/>
      </c>
    </row>
    <row r="263" spans="1:27" ht="15" customHeight="1" x14ac:dyDescent="0.25">
      <c r="A263" s="85"/>
      <c r="B263" s="217" t="str">
        <f>IF(A263&lt;&gt;"",_xlfn.MAXIFS($B$1:B262,$A$1:A262,A263)+1,"")</f>
        <v/>
      </c>
      <c r="C263" s="50"/>
      <c r="D263" s="50"/>
      <c r="E263" s="50"/>
      <c r="F263" s="50"/>
      <c r="G263" s="280"/>
      <c r="H263" s="293"/>
      <c r="I263" s="292"/>
      <c r="J263" s="292"/>
      <c r="K263" s="200"/>
      <c r="L263" s="200"/>
      <c r="M263" s="89" t="str">
        <f>IFERROR(VLOOKUP(H263,Lijsten!$H$1:$I$100,2,0),"")</f>
        <v/>
      </c>
      <c r="N263" s="89" t="str" cm="1">
        <f t="array" ref="N263">IFERROR(_xlfn.IFS(AND(LEFT(F263,6)="Arbeid",RIGHT(F263,3)&lt;&gt;"IKS"),IFERROR(VLOOKUP($G263,Tb_KostenTypen[],2,0),"tarief"),RIGHT(F263,3)="IKS","Uurtarief",LEFT(F263,6)="Arbeid","Uurtarief",AND(LEFT(F263,8)="Bijdrage",RIGHT(F263,15)="(vrijwilligers)"),"Vast tarief"),"")</f>
        <v/>
      </c>
      <c r="O263" s="90"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0"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1"/>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59"/>
      <c r="Z263" s="49"/>
      <c r="AA263" s="37" t="str" cm="1">
        <f t="array" ref="AA263">IFERROR(IF(INDEX(SubsidieTabel!$Q$1:$T$9,MATCH($F263,SubsidieTabel!$Q$1:$Q$9,0),IFERROR(MATCH(Methode_Keuze,SubsidieTabel!$Q$1:$T$1,0),2))&lt;&gt;1=TRUE,"ja",""),"")</f>
        <v/>
      </c>
    </row>
    <row r="264" spans="1:27" ht="15" customHeight="1" x14ac:dyDescent="0.25">
      <c r="A264" s="85"/>
      <c r="B264" s="217" t="str">
        <f>IF(A264&lt;&gt;"",_xlfn.MAXIFS($B$1:B263,$A$1:A263,A264)+1,"")</f>
        <v/>
      </c>
      <c r="C264" s="50"/>
      <c r="D264" s="50"/>
      <c r="E264" s="50"/>
      <c r="F264" s="50"/>
      <c r="G264" s="280"/>
      <c r="H264" s="293"/>
      <c r="I264" s="292"/>
      <c r="J264" s="292"/>
      <c r="K264" s="200"/>
      <c r="L264" s="200"/>
      <c r="M264" s="89" t="str">
        <f>IFERROR(VLOOKUP(H264,Lijsten!$H$1:$I$100,2,0),"")</f>
        <v/>
      </c>
      <c r="N264" s="89" t="str" cm="1">
        <f t="array" ref="N264">IFERROR(_xlfn.IFS(AND(LEFT(F264,6)="Arbeid",RIGHT(F264,3)&lt;&gt;"IKS"),IFERROR(VLOOKUP($G264,Tb_KostenTypen[],2,0),"tarief"),RIGHT(F264,3)="IKS","Uurtarief",LEFT(F264,6)="Arbeid","Uurtarief",AND(LEFT(F264,8)="Bijdrage",RIGHT(F264,15)="(vrijwilligers)"),"Vast tarief"),"")</f>
        <v/>
      </c>
      <c r="O264" s="90"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0"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1"/>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59"/>
      <c r="Z264" s="49"/>
      <c r="AA264" s="37" t="str" cm="1">
        <f t="array" ref="AA264">IFERROR(IF(INDEX(SubsidieTabel!$Q$1:$T$9,MATCH($F264,SubsidieTabel!$Q$1:$Q$9,0),IFERROR(MATCH(Methode_Keuze,SubsidieTabel!$Q$1:$T$1,0),2))&lt;&gt;1=TRUE,"ja",""),"")</f>
        <v/>
      </c>
    </row>
    <row r="265" spans="1:27" ht="15" customHeight="1" x14ac:dyDescent="0.25">
      <c r="A265" s="85"/>
      <c r="B265" s="217" t="str">
        <f>IF(A265&lt;&gt;"",_xlfn.MAXIFS($B$1:B264,$A$1:A264,A265)+1,"")</f>
        <v/>
      </c>
      <c r="C265" s="50"/>
      <c r="D265" s="50"/>
      <c r="E265" s="50"/>
      <c r="F265" s="50"/>
      <c r="G265" s="280"/>
      <c r="H265" s="293"/>
      <c r="I265" s="292"/>
      <c r="J265" s="292"/>
      <c r="K265" s="200"/>
      <c r="L265" s="200"/>
      <c r="M265" s="89" t="str">
        <f>IFERROR(VLOOKUP(H265,Lijsten!$H$1:$I$100,2,0),"")</f>
        <v/>
      </c>
      <c r="N265" s="89" t="str" cm="1">
        <f t="array" ref="N265">IFERROR(_xlfn.IFS(AND(LEFT(F265,6)="Arbeid",RIGHT(F265,3)&lt;&gt;"IKS"),IFERROR(VLOOKUP($G265,Tb_KostenTypen[],2,0),"tarief"),RIGHT(F265,3)="IKS","Uurtarief",LEFT(F265,6)="Arbeid","Uurtarief",AND(LEFT(F265,8)="Bijdrage",RIGHT(F265,15)="(vrijwilligers)"),"Vast tarief"),"")</f>
        <v/>
      </c>
      <c r="O265" s="90"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0"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1"/>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59"/>
      <c r="Z265" s="49"/>
      <c r="AA265" s="37" t="str" cm="1">
        <f t="array" ref="AA265">IFERROR(IF(INDEX(SubsidieTabel!$Q$1:$T$9,MATCH($F265,SubsidieTabel!$Q$1:$Q$9,0),IFERROR(MATCH(Methode_Keuze,SubsidieTabel!$Q$1:$T$1,0),2))&lt;&gt;1=TRUE,"ja",""),"")</f>
        <v/>
      </c>
    </row>
    <row r="266" spans="1:27" ht="15" customHeight="1" x14ac:dyDescent="0.25">
      <c r="A266" s="85"/>
      <c r="B266" s="217" t="str">
        <f>IF(A266&lt;&gt;"",_xlfn.MAXIFS($B$1:B265,$A$1:A265,A266)+1,"")</f>
        <v/>
      </c>
      <c r="C266" s="50"/>
      <c r="D266" s="50"/>
      <c r="E266" s="50"/>
      <c r="F266" s="50"/>
      <c r="G266" s="280"/>
      <c r="H266" s="293"/>
      <c r="I266" s="292"/>
      <c r="J266" s="292"/>
      <c r="K266" s="200"/>
      <c r="L266" s="200"/>
      <c r="M266" s="89" t="str">
        <f>IFERROR(VLOOKUP(H266,Lijsten!$H$1:$I$100,2,0),"")</f>
        <v/>
      </c>
      <c r="N266" s="89" t="str" cm="1">
        <f t="array" ref="N266">IFERROR(_xlfn.IFS(AND(LEFT(F266,6)="Arbeid",RIGHT(F266,3)&lt;&gt;"IKS"),IFERROR(VLOOKUP($G266,Tb_KostenTypen[],2,0),"tarief"),RIGHT(F266,3)="IKS","Uurtarief",LEFT(F266,6)="Arbeid","Uurtarief",AND(LEFT(F266,8)="Bijdrage",RIGHT(F266,15)="(vrijwilligers)"),"Vast tarief"),"")</f>
        <v/>
      </c>
      <c r="O266" s="90"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0"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1"/>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59"/>
      <c r="Z266" s="49"/>
      <c r="AA266" s="37" t="str" cm="1">
        <f t="array" ref="AA266">IFERROR(IF(INDEX(SubsidieTabel!$Q$1:$T$9,MATCH($F266,SubsidieTabel!$Q$1:$Q$9,0),IFERROR(MATCH(Methode_Keuze,SubsidieTabel!$Q$1:$T$1,0),2))&lt;&gt;1=TRUE,"ja",""),"")</f>
        <v/>
      </c>
    </row>
    <row r="267" spans="1:27" ht="15" customHeight="1" x14ac:dyDescent="0.25">
      <c r="A267" s="85"/>
      <c r="B267" s="217" t="str">
        <f>IF(A267&lt;&gt;"",_xlfn.MAXIFS($B$1:B266,$A$1:A266,A267)+1,"")</f>
        <v/>
      </c>
      <c r="C267" s="50"/>
      <c r="D267" s="50"/>
      <c r="E267" s="50"/>
      <c r="F267" s="50"/>
      <c r="G267" s="280"/>
      <c r="H267" s="293"/>
      <c r="I267" s="292"/>
      <c r="J267" s="292"/>
      <c r="K267" s="200"/>
      <c r="L267" s="200"/>
      <c r="M267" s="89" t="str">
        <f>IFERROR(VLOOKUP(H267,Lijsten!$H$1:$I$100,2,0),"")</f>
        <v/>
      </c>
      <c r="N267" s="89" t="str" cm="1">
        <f t="array" ref="N267">IFERROR(_xlfn.IFS(AND(LEFT(F267,6)="Arbeid",RIGHT(F267,3)&lt;&gt;"IKS"),IFERROR(VLOOKUP($G267,Tb_KostenTypen[],2,0),"tarief"),RIGHT(F267,3)="IKS","Uurtarief",LEFT(F267,6)="Arbeid","Uurtarief",AND(LEFT(F267,8)="Bijdrage",RIGHT(F267,15)="(vrijwilligers)"),"Vast tarief"),"")</f>
        <v/>
      </c>
      <c r="O267" s="90"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0"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1"/>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59"/>
      <c r="Z267" s="49"/>
      <c r="AA267" s="37" t="str" cm="1">
        <f t="array" ref="AA267">IFERROR(IF(INDEX(SubsidieTabel!$Q$1:$T$9,MATCH($F267,SubsidieTabel!$Q$1:$Q$9,0),IFERROR(MATCH(Methode_Keuze,SubsidieTabel!$Q$1:$T$1,0),2))&lt;&gt;1=TRUE,"ja",""),"")</f>
        <v/>
      </c>
    </row>
    <row r="268" spans="1:27" ht="15" customHeight="1" x14ac:dyDescent="0.25">
      <c r="A268" s="85"/>
      <c r="B268" s="217" t="str">
        <f>IF(A268&lt;&gt;"",_xlfn.MAXIFS($B$1:B267,$A$1:A267,A268)+1,"")</f>
        <v/>
      </c>
      <c r="C268" s="50"/>
      <c r="D268" s="50"/>
      <c r="E268" s="50"/>
      <c r="F268" s="50"/>
      <c r="G268" s="280"/>
      <c r="H268" s="293"/>
      <c r="I268" s="292"/>
      <c r="J268" s="292"/>
      <c r="K268" s="200"/>
      <c r="L268" s="200"/>
      <c r="M268" s="89" t="str">
        <f>IFERROR(VLOOKUP(H268,Lijsten!$H$1:$I$100,2,0),"")</f>
        <v/>
      </c>
      <c r="N268" s="89" t="str" cm="1">
        <f t="array" ref="N268">IFERROR(_xlfn.IFS(AND(LEFT(F268,6)="Arbeid",RIGHT(F268,3)&lt;&gt;"IKS"),IFERROR(VLOOKUP($G268,Tb_KostenTypen[],2,0),"tarief"),RIGHT(F268,3)="IKS","Uurtarief",LEFT(F268,6)="Arbeid","Uurtarief",AND(LEFT(F268,8)="Bijdrage",RIGHT(F268,15)="(vrijwilligers)"),"Vast tarief"),"")</f>
        <v/>
      </c>
      <c r="O268" s="90"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0"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1"/>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59"/>
      <c r="Z268" s="49"/>
      <c r="AA268" s="37" t="str" cm="1">
        <f t="array" ref="AA268">IFERROR(IF(INDEX(SubsidieTabel!$Q$1:$T$9,MATCH($F268,SubsidieTabel!$Q$1:$Q$9,0),IFERROR(MATCH(Methode_Keuze,SubsidieTabel!$Q$1:$T$1,0),2))&lt;&gt;1=TRUE,"ja",""),"")</f>
        <v/>
      </c>
    </row>
    <row r="269" spans="1:27" ht="15" customHeight="1" x14ac:dyDescent="0.25">
      <c r="A269" s="85"/>
      <c r="B269" s="217" t="str">
        <f>IF(A269&lt;&gt;"",_xlfn.MAXIFS($B$1:B268,$A$1:A268,A269)+1,"")</f>
        <v/>
      </c>
      <c r="C269" s="50"/>
      <c r="D269" s="50"/>
      <c r="E269" s="50"/>
      <c r="F269" s="50"/>
      <c r="G269" s="280"/>
      <c r="H269" s="293"/>
      <c r="I269" s="292"/>
      <c r="J269" s="292"/>
      <c r="K269" s="200"/>
      <c r="L269" s="200"/>
      <c r="M269" s="89" t="str">
        <f>IFERROR(VLOOKUP(H269,Lijsten!$H$1:$I$100,2,0),"")</f>
        <v/>
      </c>
      <c r="N269" s="89" t="str" cm="1">
        <f t="array" ref="N269">IFERROR(_xlfn.IFS(AND(LEFT(F269,6)="Arbeid",RIGHT(F269,3)&lt;&gt;"IKS"),IFERROR(VLOOKUP($G269,Tb_KostenTypen[],2,0),"tarief"),RIGHT(F269,3)="IKS","Uurtarief",LEFT(F269,6)="Arbeid","Uurtarief",AND(LEFT(F269,8)="Bijdrage",RIGHT(F269,15)="(vrijwilligers)"),"Vast tarief"),"")</f>
        <v/>
      </c>
      <c r="O269" s="90"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0"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1"/>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59"/>
      <c r="Z269" s="49"/>
      <c r="AA269" s="37" t="str" cm="1">
        <f t="array" ref="AA269">IFERROR(IF(INDEX(SubsidieTabel!$Q$1:$T$9,MATCH($F269,SubsidieTabel!$Q$1:$Q$9,0),IFERROR(MATCH(Methode_Keuze,SubsidieTabel!$Q$1:$T$1,0),2))&lt;&gt;1=TRUE,"ja",""),"")</f>
        <v/>
      </c>
    </row>
    <row r="270" spans="1:27" ht="15" customHeight="1" x14ac:dyDescent="0.25">
      <c r="A270" s="85"/>
      <c r="B270" s="217" t="str">
        <f>IF(A270&lt;&gt;"",_xlfn.MAXIFS($B$1:B269,$A$1:A269,A270)+1,"")</f>
        <v/>
      </c>
      <c r="C270" s="50"/>
      <c r="D270" s="50"/>
      <c r="E270" s="50"/>
      <c r="F270" s="50"/>
      <c r="G270" s="280"/>
      <c r="H270" s="293"/>
      <c r="I270" s="292"/>
      <c r="J270" s="292"/>
      <c r="K270" s="200"/>
      <c r="L270" s="200"/>
      <c r="M270" s="89" t="str">
        <f>IFERROR(VLOOKUP(H270,Lijsten!$H$1:$I$100,2,0),"")</f>
        <v/>
      </c>
      <c r="N270" s="89" t="str" cm="1">
        <f t="array" ref="N270">IFERROR(_xlfn.IFS(AND(LEFT(F270,6)="Arbeid",RIGHT(F270,3)&lt;&gt;"IKS"),IFERROR(VLOOKUP($G270,Tb_KostenTypen[],2,0),"tarief"),RIGHT(F270,3)="IKS","Uurtarief",LEFT(F270,6)="Arbeid","Uurtarief",AND(LEFT(F270,8)="Bijdrage",RIGHT(F270,15)="(vrijwilligers)"),"Vast tarief"),"")</f>
        <v/>
      </c>
      <c r="O270" s="90"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0"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1"/>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59"/>
      <c r="Z270" s="49"/>
      <c r="AA270" s="37" t="str" cm="1">
        <f t="array" ref="AA270">IFERROR(IF(INDEX(SubsidieTabel!$Q$1:$T$9,MATCH($F270,SubsidieTabel!$Q$1:$Q$9,0),IFERROR(MATCH(Methode_Keuze,SubsidieTabel!$Q$1:$T$1,0),2))&lt;&gt;1=TRUE,"ja",""),"")</f>
        <v/>
      </c>
    </row>
    <row r="271" spans="1:27" ht="15" customHeight="1" x14ac:dyDescent="0.25">
      <c r="A271" s="85"/>
      <c r="B271" s="217" t="str">
        <f>IF(A271&lt;&gt;"",_xlfn.MAXIFS($B$1:B270,$A$1:A270,A271)+1,"")</f>
        <v/>
      </c>
      <c r="C271" s="50"/>
      <c r="D271" s="50"/>
      <c r="E271" s="50"/>
      <c r="F271" s="50"/>
      <c r="G271" s="280"/>
      <c r="H271" s="293"/>
      <c r="I271" s="292"/>
      <c r="J271" s="292"/>
      <c r="K271" s="200"/>
      <c r="L271" s="200"/>
      <c r="M271" s="89" t="str">
        <f>IFERROR(VLOOKUP(H271,Lijsten!$H$1:$I$100,2,0),"")</f>
        <v/>
      </c>
      <c r="N271" s="89" t="str" cm="1">
        <f t="array" ref="N271">IFERROR(_xlfn.IFS(AND(LEFT(F271,6)="Arbeid",RIGHT(F271,3)&lt;&gt;"IKS"),IFERROR(VLOOKUP($G271,Tb_KostenTypen[],2,0),"tarief"),RIGHT(F271,3)="IKS","Uurtarief",LEFT(F271,6)="Arbeid","Uurtarief",AND(LEFT(F271,8)="Bijdrage",RIGHT(F271,15)="(vrijwilligers)"),"Vast tarief"),"")</f>
        <v/>
      </c>
      <c r="O271" s="90"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0"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1"/>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59"/>
      <c r="Z271" s="49"/>
      <c r="AA271" s="37" t="str" cm="1">
        <f t="array" ref="AA271">IFERROR(IF(INDEX(SubsidieTabel!$Q$1:$T$9,MATCH($F271,SubsidieTabel!$Q$1:$Q$9,0),IFERROR(MATCH(Methode_Keuze,SubsidieTabel!$Q$1:$T$1,0),2))&lt;&gt;1=TRUE,"ja",""),"")</f>
        <v/>
      </c>
    </row>
    <row r="272" spans="1:27" ht="15" customHeight="1" x14ac:dyDescent="0.25">
      <c r="A272" s="85"/>
      <c r="B272" s="217" t="str">
        <f>IF(A272&lt;&gt;"",_xlfn.MAXIFS($B$1:B271,$A$1:A271,A272)+1,"")</f>
        <v/>
      </c>
      <c r="C272" s="50"/>
      <c r="D272" s="50"/>
      <c r="E272" s="50"/>
      <c r="F272" s="50"/>
      <c r="G272" s="280"/>
      <c r="H272" s="293"/>
      <c r="I272" s="292"/>
      <c r="J272" s="292"/>
      <c r="K272" s="200"/>
      <c r="L272" s="200"/>
      <c r="M272" s="89" t="str">
        <f>IFERROR(VLOOKUP(H272,Lijsten!$H$1:$I$100,2,0),"")</f>
        <v/>
      </c>
      <c r="N272" s="89" t="str" cm="1">
        <f t="array" ref="N272">IFERROR(_xlfn.IFS(AND(LEFT(F272,6)="Arbeid",RIGHT(F272,3)&lt;&gt;"IKS"),IFERROR(VLOOKUP($G272,Tb_KostenTypen[],2,0),"tarief"),RIGHT(F272,3)="IKS","Uurtarief",LEFT(F272,6)="Arbeid","Uurtarief",AND(LEFT(F272,8)="Bijdrage",RIGHT(F272,15)="(vrijwilligers)"),"Vast tarief"),"")</f>
        <v/>
      </c>
      <c r="O272" s="90"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0"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1"/>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59"/>
      <c r="Z272" s="49"/>
      <c r="AA272" s="37" t="str" cm="1">
        <f t="array" ref="AA272">IFERROR(IF(INDEX(SubsidieTabel!$Q$1:$T$9,MATCH($F272,SubsidieTabel!$Q$1:$Q$9,0),IFERROR(MATCH(Methode_Keuze,SubsidieTabel!$Q$1:$T$1,0),2))&lt;&gt;1=TRUE,"ja",""),"")</f>
        <v/>
      </c>
    </row>
    <row r="273" spans="1:27" ht="15" customHeight="1" x14ac:dyDescent="0.25">
      <c r="A273" s="85"/>
      <c r="B273" s="217" t="str">
        <f>IF(A273&lt;&gt;"",_xlfn.MAXIFS($B$1:B272,$A$1:A272,A273)+1,"")</f>
        <v/>
      </c>
      <c r="C273" s="50"/>
      <c r="D273" s="50"/>
      <c r="E273" s="50"/>
      <c r="F273" s="50"/>
      <c r="G273" s="280"/>
      <c r="H273" s="293"/>
      <c r="I273" s="292"/>
      <c r="J273" s="292"/>
      <c r="K273" s="200"/>
      <c r="L273" s="200"/>
      <c r="M273" s="89" t="str">
        <f>IFERROR(VLOOKUP(H273,Lijsten!$H$1:$I$100,2,0),"")</f>
        <v/>
      </c>
      <c r="N273" s="89" t="str" cm="1">
        <f t="array" ref="N273">IFERROR(_xlfn.IFS(AND(LEFT(F273,6)="Arbeid",RIGHT(F273,3)&lt;&gt;"IKS"),IFERROR(VLOOKUP($G273,Tb_KostenTypen[],2,0),"tarief"),RIGHT(F273,3)="IKS","Uurtarief",LEFT(F273,6)="Arbeid","Uurtarief",AND(LEFT(F273,8)="Bijdrage",RIGHT(F273,15)="(vrijwilligers)"),"Vast tarief"),"")</f>
        <v/>
      </c>
      <c r="O273" s="90"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0"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1"/>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59"/>
      <c r="Z273" s="49"/>
      <c r="AA273" s="37" t="str" cm="1">
        <f t="array" ref="AA273">IFERROR(IF(INDEX(SubsidieTabel!$Q$1:$T$9,MATCH($F273,SubsidieTabel!$Q$1:$Q$9,0),IFERROR(MATCH(Methode_Keuze,SubsidieTabel!$Q$1:$T$1,0),2))&lt;&gt;1=TRUE,"ja",""),"")</f>
        <v/>
      </c>
    </row>
    <row r="274" spans="1:27" ht="15" customHeight="1" x14ac:dyDescent="0.25">
      <c r="A274" s="85"/>
      <c r="B274" s="217" t="str">
        <f>IF(A274&lt;&gt;"",_xlfn.MAXIFS($B$1:B273,$A$1:A273,A274)+1,"")</f>
        <v/>
      </c>
      <c r="C274" s="50"/>
      <c r="D274" s="50"/>
      <c r="E274" s="50"/>
      <c r="F274" s="50"/>
      <c r="G274" s="280"/>
      <c r="H274" s="293"/>
      <c r="I274" s="292"/>
      <c r="J274" s="292"/>
      <c r="K274" s="200"/>
      <c r="L274" s="200"/>
      <c r="M274" s="89" t="str">
        <f>IFERROR(VLOOKUP(H274,Lijsten!$H$1:$I$100,2,0),"")</f>
        <v/>
      </c>
      <c r="N274" s="89" t="str" cm="1">
        <f t="array" ref="N274">IFERROR(_xlfn.IFS(AND(LEFT(F274,6)="Arbeid",RIGHT(F274,3)&lt;&gt;"IKS"),IFERROR(VLOOKUP($G274,Tb_KostenTypen[],2,0),"tarief"),RIGHT(F274,3)="IKS","Uurtarief",LEFT(F274,6)="Arbeid","Uurtarief",AND(LEFT(F274,8)="Bijdrage",RIGHT(F274,15)="(vrijwilligers)"),"Vast tarief"),"")</f>
        <v/>
      </c>
      <c r="O274" s="90"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0"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1"/>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59"/>
      <c r="Z274" s="49"/>
      <c r="AA274" s="37" t="str" cm="1">
        <f t="array" ref="AA274">IFERROR(IF(INDEX(SubsidieTabel!$Q$1:$T$9,MATCH($F274,SubsidieTabel!$Q$1:$Q$9,0),IFERROR(MATCH(Methode_Keuze,SubsidieTabel!$Q$1:$T$1,0),2))&lt;&gt;1=TRUE,"ja",""),"")</f>
        <v/>
      </c>
    </row>
    <row r="275" spans="1:27" ht="15" customHeight="1" x14ac:dyDescent="0.25">
      <c r="A275" s="85"/>
      <c r="B275" s="217" t="str">
        <f>IF(A275&lt;&gt;"",_xlfn.MAXIFS($B$1:B274,$A$1:A274,A275)+1,"")</f>
        <v/>
      </c>
      <c r="C275" s="50"/>
      <c r="D275" s="50"/>
      <c r="E275" s="50"/>
      <c r="F275" s="50"/>
      <c r="G275" s="280"/>
      <c r="H275" s="293"/>
      <c r="I275" s="292"/>
      <c r="J275" s="292"/>
      <c r="K275" s="200"/>
      <c r="L275" s="200"/>
      <c r="M275" s="89" t="str">
        <f>IFERROR(VLOOKUP(H275,Lijsten!$H$1:$I$100,2,0),"")</f>
        <v/>
      </c>
      <c r="N275" s="89" t="str" cm="1">
        <f t="array" ref="N275">IFERROR(_xlfn.IFS(AND(LEFT(F275,6)="Arbeid",RIGHT(F275,3)&lt;&gt;"IKS"),IFERROR(VLOOKUP($G275,Tb_KostenTypen[],2,0),"tarief"),RIGHT(F275,3)="IKS","Uurtarief",LEFT(F275,6)="Arbeid","Uurtarief",AND(LEFT(F275,8)="Bijdrage",RIGHT(F275,15)="(vrijwilligers)"),"Vast tarief"),"")</f>
        <v/>
      </c>
      <c r="O275" s="90"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0"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1"/>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59"/>
      <c r="Z275" s="49"/>
      <c r="AA275" s="37" t="str" cm="1">
        <f t="array" ref="AA275">IFERROR(IF(INDEX(SubsidieTabel!$Q$1:$T$9,MATCH($F275,SubsidieTabel!$Q$1:$Q$9,0),IFERROR(MATCH(Methode_Keuze,SubsidieTabel!$Q$1:$T$1,0),2))&lt;&gt;1=TRUE,"ja",""),"")</f>
        <v/>
      </c>
    </row>
    <row r="276" spans="1:27" ht="15" customHeight="1" x14ac:dyDescent="0.25">
      <c r="A276" s="85"/>
      <c r="B276" s="217" t="str">
        <f>IF(A276&lt;&gt;"",_xlfn.MAXIFS($B$1:B275,$A$1:A275,A276)+1,"")</f>
        <v/>
      </c>
      <c r="C276" s="50"/>
      <c r="D276" s="50"/>
      <c r="E276" s="50"/>
      <c r="F276" s="50"/>
      <c r="G276" s="280"/>
      <c r="H276" s="293"/>
      <c r="I276" s="292"/>
      <c r="J276" s="292"/>
      <c r="K276" s="200"/>
      <c r="L276" s="200"/>
      <c r="M276" s="89" t="str">
        <f>IFERROR(VLOOKUP(H276,Lijsten!$H$1:$I$100,2,0),"")</f>
        <v/>
      </c>
      <c r="N276" s="89" t="str" cm="1">
        <f t="array" ref="N276">IFERROR(_xlfn.IFS(AND(LEFT(F276,6)="Arbeid",RIGHT(F276,3)&lt;&gt;"IKS"),IFERROR(VLOOKUP($G276,Tb_KostenTypen[],2,0),"tarief"),RIGHT(F276,3)="IKS","Uurtarief",LEFT(F276,6)="Arbeid","Uurtarief",AND(LEFT(F276,8)="Bijdrage",RIGHT(F276,15)="(vrijwilligers)"),"Vast tarief"),"")</f>
        <v/>
      </c>
      <c r="O276" s="90"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0"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1"/>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59"/>
      <c r="Z276" s="49"/>
      <c r="AA276" s="37" t="str" cm="1">
        <f t="array" ref="AA276">IFERROR(IF(INDEX(SubsidieTabel!$Q$1:$T$9,MATCH($F276,SubsidieTabel!$Q$1:$Q$9,0),IFERROR(MATCH(Methode_Keuze,SubsidieTabel!$Q$1:$T$1,0),2))&lt;&gt;1=TRUE,"ja",""),"")</f>
        <v/>
      </c>
    </row>
    <row r="277" spans="1:27" ht="15" customHeight="1" x14ac:dyDescent="0.25">
      <c r="A277" s="85"/>
      <c r="B277" s="217" t="str">
        <f>IF(A277&lt;&gt;"",_xlfn.MAXIFS($B$1:B276,$A$1:A276,A277)+1,"")</f>
        <v/>
      </c>
      <c r="C277" s="50"/>
      <c r="D277" s="50"/>
      <c r="E277" s="50"/>
      <c r="F277" s="50"/>
      <c r="G277" s="280"/>
      <c r="H277" s="293"/>
      <c r="I277" s="292"/>
      <c r="J277" s="292"/>
      <c r="K277" s="200"/>
      <c r="L277" s="200"/>
      <c r="M277" s="89" t="str">
        <f>IFERROR(VLOOKUP(H277,Lijsten!$H$1:$I$100,2,0),"")</f>
        <v/>
      </c>
      <c r="N277" s="89" t="str" cm="1">
        <f t="array" ref="N277">IFERROR(_xlfn.IFS(AND(LEFT(F277,6)="Arbeid",RIGHT(F277,3)&lt;&gt;"IKS"),IFERROR(VLOOKUP($G277,Tb_KostenTypen[],2,0),"tarief"),RIGHT(F277,3)="IKS","Uurtarief",LEFT(F277,6)="Arbeid","Uurtarief",AND(LEFT(F277,8)="Bijdrage",RIGHT(F277,15)="(vrijwilligers)"),"Vast tarief"),"")</f>
        <v/>
      </c>
      <c r="O277" s="90"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0"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1"/>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59"/>
      <c r="Z277" s="49"/>
      <c r="AA277" s="37" t="str" cm="1">
        <f t="array" ref="AA277">IFERROR(IF(INDEX(SubsidieTabel!$Q$1:$T$9,MATCH($F277,SubsidieTabel!$Q$1:$Q$9,0),IFERROR(MATCH(Methode_Keuze,SubsidieTabel!$Q$1:$T$1,0),2))&lt;&gt;1=TRUE,"ja",""),"")</f>
        <v/>
      </c>
    </row>
    <row r="278" spans="1:27" ht="15" customHeight="1" x14ac:dyDescent="0.25">
      <c r="A278" s="85"/>
      <c r="B278" s="217" t="str">
        <f>IF(A278&lt;&gt;"",_xlfn.MAXIFS($B$1:B277,$A$1:A277,A278)+1,"")</f>
        <v/>
      </c>
      <c r="C278" s="50"/>
      <c r="D278" s="50"/>
      <c r="E278" s="50"/>
      <c r="F278" s="50"/>
      <c r="G278" s="280"/>
      <c r="H278" s="293"/>
      <c r="I278" s="292"/>
      <c r="J278" s="292"/>
      <c r="K278" s="200"/>
      <c r="L278" s="200"/>
      <c r="M278" s="89" t="str">
        <f>IFERROR(VLOOKUP(H278,Lijsten!$H$1:$I$100,2,0),"")</f>
        <v/>
      </c>
      <c r="N278" s="89" t="str" cm="1">
        <f t="array" ref="N278">IFERROR(_xlfn.IFS(AND(LEFT(F278,6)="Arbeid",RIGHT(F278,3)&lt;&gt;"IKS"),IFERROR(VLOOKUP($G278,Tb_KostenTypen[],2,0),"tarief"),RIGHT(F278,3)="IKS","Uurtarief",LEFT(F278,6)="Arbeid","Uurtarief",AND(LEFT(F278,8)="Bijdrage",RIGHT(F278,15)="(vrijwilligers)"),"Vast tarief"),"")</f>
        <v/>
      </c>
      <c r="O278" s="90"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0"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1"/>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59"/>
      <c r="Z278" s="49"/>
      <c r="AA278" s="37" t="str" cm="1">
        <f t="array" ref="AA278">IFERROR(IF(INDEX(SubsidieTabel!$Q$1:$T$9,MATCH($F278,SubsidieTabel!$Q$1:$Q$9,0),IFERROR(MATCH(Methode_Keuze,SubsidieTabel!$Q$1:$T$1,0),2))&lt;&gt;1=TRUE,"ja",""),"")</f>
        <v/>
      </c>
    </row>
    <row r="279" spans="1:27" ht="15" customHeight="1" x14ac:dyDescent="0.25">
      <c r="A279" s="85"/>
      <c r="B279" s="217" t="str">
        <f>IF(A279&lt;&gt;"",_xlfn.MAXIFS($B$1:B278,$A$1:A278,A279)+1,"")</f>
        <v/>
      </c>
      <c r="C279" s="50"/>
      <c r="D279" s="50"/>
      <c r="E279" s="50"/>
      <c r="F279" s="50"/>
      <c r="G279" s="280"/>
      <c r="H279" s="293"/>
      <c r="I279" s="292"/>
      <c r="J279" s="292"/>
      <c r="K279" s="200"/>
      <c r="L279" s="200"/>
      <c r="M279" s="89" t="str">
        <f>IFERROR(VLOOKUP(H279,Lijsten!$H$1:$I$100,2,0),"")</f>
        <v/>
      </c>
      <c r="N279" s="89" t="str" cm="1">
        <f t="array" ref="N279">IFERROR(_xlfn.IFS(AND(LEFT(F279,6)="Arbeid",RIGHT(F279,3)&lt;&gt;"IKS"),IFERROR(VLOOKUP($G279,Tb_KostenTypen[],2,0),"tarief"),RIGHT(F279,3)="IKS","Uurtarief",LEFT(F279,6)="Arbeid","Uurtarief",AND(LEFT(F279,8)="Bijdrage",RIGHT(F279,15)="(vrijwilligers)"),"Vast tarief"),"")</f>
        <v/>
      </c>
      <c r="O279" s="90"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0"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1"/>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59"/>
      <c r="Z279" s="49"/>
      <c r="AA279" s="37" t="str" cm="1">
        <f t="array" ref="AA279">IFERROR(IF(INDEX(SubsidieTabel!$Q$1:$T$9,MATCH($F279,SubsidieTabel!$Q$1:$Q$9,0),IFERROR(MATCH(Methode_Keuze,SubsidieTabel!$Q$1:$T$1,0),2))&lt;&gt;1=TRUE,"ja",""),"")</f>
        <v/>
      </c>
    </row>
    <row r="280" spans="1:27" ht="15" customHeight="1" x14ac:dyDescent="0.25">
      <c r="A280" s="85"/>
      <c r="B280" s="217" t="str">
        <f>IF(A280&lt;&gt;"",_xlfn.MAXIFS($B$1:B279,$A$1:A279,A280)+1,"")</f>
        <v/>
      </c>
      <c r="C280" s="50"/>
      <c r="D280" s="50"/>
      <c r="E280" s="50"/>
      <c r="F280" s="50"/>
      <c r="G280" s="280"/>
      <c r="H280" s="293"/>
      <c r="I280" s="292"/>
      <c r="J280" s="292"/>
      <c r="K280" s="200"/>
      <c r="L280" s="200"/>
      <c r="M280" s="89" t="str">
        <f>IFERROR(VLOOKUP(H280,Lijsten!$H$1:$I$100,2,0),"")</f>
        <v/>
      </c>
      <c r="N280" s="89" t="str" cm="1">
        <f t="array" ref="N280">IFERROR(_xlfn.IFS(AND(LEFT(F280,6)="Arbeid",RIGHT(F280,3)&lt;&gt;"IKS"),IFERROR(VLOOKUP($G280,Tb_KostenTypen[],2,0),"tarief"),RIGHT(F280,3)="IKS","Uurtarief",LEFT(F280,6)="Arbeid","Uurtarief",AND(LEFT(F280,8)="Bijdrage",RIGHT(F280,15)="(vrijwilligers)"),"Vast tarief"),"")</f>
        <v/>
      </c>
      <c r="O280" s="90"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0"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1"/>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59"/>
      <c r="Z280" s="49"/>
      <c r="AA280" s="37" t="str" cm="1">
        <f t="array" ref="AA280">IFERROR(IF(INDEX(SubsidieTabel!$Q$1:$T$9,MATCH($F280,SubsidieTabel!$Q$1:$Q$9,0),IFERROR(MATCH(Methode_Keuze,SubsidieTabel!$Q$1:$T$1,0),2))&lt;&gt;1=TRUE,"ja",""),"")</f>
        <v/>
      </c>
    </row>
    <row r="281" spans="1:27" ht="15" customHeight="1" x14ac:dyDescent="0.25">
      <c r="A281" s="85"/>
      <c r="B281" s="217" t="str">
        <f>IF(A281&lt;&gt;"",_xlfn.MAXIFS($B$1:B280,$A$1:A280,A281)+1,"")</f>
        <v/>
      </c>
      <c r="C281" s="50"/>
      <c r="D281" s="50"/>
      <c r="E281" s="50"/>
      <c r="F281" s="50"/>
      <c r="G281" s="280"/>
      <c r="H281" s="293"/>
      <c r="I281" s="292"/>
      <c r="J281" s="292"/>
      <c r="K281" s="200"/>
      <c r="L281" s="200"/>
      <c r="M281" s="89" t="str">
        <f>IFERROR(VLOOKUP(H281,Lijsten!$H$1:$I$100,2,0),"")</f>
        <v/>
      </c>
      <c r="N281" s="89" t="str" cm="1">
        <f t="array" ref="N281">IFERROR(_xlfn.IFS(AND(LEFT(F281,6)="Arbeid",RIGHT(F281,3)&lt;&gt;"IKS"),IFERROR(VLOOKUP($G281,Tb_KostenTypen[],2,0),"tarief"),RIGHT(F281,3)="IKS","Uurtarief",LEFT(F281,6)="Arbeid","Uurtarief",AND(LEFT(F281,8)="Bijdrage",RIGHT(F281,15)="(vrijwilligers)"),"Vast tarief"),"")</f>
        <v/>
      </c>
      <c r="O281" s="90"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0"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1"/>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59"/>
      <c r="Z281" s="49"/>
      <c r="AA281" s="37" t="str" cm="1">
        <f t="array" ref="AA281">IFERROR(IF(INDEX(SubsidieTabel!$Q$1:$T$9,MATCH($F281,SubsidieTabel!$Q$1:$Q$9,0),IFERROR(MATCH(Methode_Keuze,SubsidieTabel!$Q$1:$T$1,0),2))&lt;&gt;1=TRUE,"ja",""),"")</f>
        <v/>
      </c>
    </row>
    <row r="282" spans="1:27" ht="15" customHeight="1" x14ac:dyDescent="0.25">
      <c r="A282" s="85"/>
      <c r="B282" s="217" t="str">
        <f>IF(A282&lt;&gt;"",_xlfn.MAXIFS($B$1:B281,$A$1:A281,A282)+1,"")</f>
        <v/>
      </c>
      <c r="C282" s="50"/>
      <c r="D282" s="50"/>
      <c r="E282" s="50"/>
      <c r="F282" s="50"/>
      <c r="G282" s="280"/>
      <c r="H282" s="293"/>
      <c r="I282" s="292"/>
      <c r="J282" s="292"/>
      <c r="K282" s="200"/>
      <c r="L282" s="200"/>
      <c r="M282" s="89" t="str">
        <f>IFERROR(VLOOKUP(H282,Lijsten!$H$1:$I$100,2,0),"")</f>
        <v/>
      </c>
      <c r="N282" s="89" t="str" cm="1">
        <f t="array" ref="N282">IFERROR(_xlfn.IFS(AND(LEFT(F282,6)="Arbeid",RIGHT(F282,3)&lt;&gt;"IKS"),IFERROR(VLOOKUP($G282,Tb_KostenTypen[],2,0),"tarief"),RIGHT(F282,3)="IKS","Uurtarief",LEFT(F282,6)="Arbeid","Uurtarief",AND(LEFT(F282,8)="Bijdrage",RIGHT(F282,15)="(vrijwilligers)"),"Vast tarief"),"")</f>
        <v/>
      </c>
      <c r="O282" s="90"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0"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1"/>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59"/>
      <c r="Z282" s="49"/>
      <c r="AA282" s="37" t="str" cm="1">
        <f t="array" ref="AA282">IFERROR(IF(INDEX(SubsidieTabel!$Q$1:$T$9,MATCH($F282,SubsidieTabel!$Q$1:$Q$9,0),IFERROR(MATCH(Methode_Keuze,SubsidieTabel!$Q$1:$T$1,0),2))&lt;&gt;1=TRUE,"ja",""),"")</f>
        <v/>
      </c>
    </row>
    <row r="283" spans="1:27" ht="15" customHeight="1" x14ac:dyDescent="0.25">
      <c r="A283" s="85"/>
      <c r="B283" s="217" t="str">
        <f>IF(A283&lt;&gt;"",_xlfn.MAXIFS($B$1:B282,$A$1:A282,A283)+1,"")</f>
        <v/>
      </c>
      <c r="C283" s="50"/>
      <c r="D283" s="50"/>
      <c r="E283" s="50"/>
      <c r="F283" s="50"/>
      <c r="G283" s="280"/>
      <c r="H283" s="293"/>
      <c r="I283" s="292"/>
      <c r="J283" s="292"/>
      <c r="K283" s="200"/>
      <c r="L283" s="200"/>
      <c r="M283" s="89" t="str">
        <f>IFERROR(VLOOKUP(H283,Lijsten!$H$1:$I$100,2,0),"")</f>
        <v/>
      </c>
      <c r="N283" s="89" t="str" cm="1">
        <f t="array" ref="N283">IFERROR(_xlfn.IFS(AND(LEFT(F283,6)="Arbeid",RIGHT(F283,3)&lt;&gt;"IKS"),IFERROR(VLOOKUP($G283,Tb_KostenTypen[],2,0),"tarief"),RIGHT(F283,3)="IKS","Uurtarief",LEFT(F283,6)="Arbeid","Uurtarief",AND(LEFT(F283,8)="Bijdrage",RIGHT(F283,15)="(vrijwilligers)"),"Vast tarief"),"")</f>
        <v/>
      </c>
      <c r="O283" s="90"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0"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1"/>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59"/>
      <c r="Z283" s="49"/>
      <c r="AA283" s="37" t="str" cm="1">
        <f t="array" ref="AA283">IFERROR(IF(INDEX(SubsidieTabel!$Q$1:$T$9,MATCH($F283,SubsidieTabel!$Q$1:$Q$9,0),IFERROR(MATCH(Methode_Keuze,SubsidieTabel!$Q$1:$T$1,0),2))&lt;&gt;1=TRUE,"ja",""),"")</f>
        <v/>
      </c>
    </row>
    <row r="284" spans="1:27" ht="15" customHeight="1" x14ac:dyDescent="0.25">
      <c r="A284" s="85"/>
      <c r="B284" s="217" t="str">
        <f>IF(A284&lt;&gt;"",_xlfn.MAXIFS($B$1:B283,$A$1:A283,A284)+1,"")</f>
        <v/>
      </c>
      <c r="C284" s="50"/>
      <c r="D284" s="50"/>
      <c r="E284" s="50"/>
      <c r="F284" s="50"/>
      <c r="G284" s="280"/>
      <c r="H284" s="293"/>
      <c r="I284" s="292"/>
      <c r="J284" s="292"/>
      <c r="K284" s="200"/>
      <c r="L284" s="200"/>
      <c r="M284" s="89" t="str">
        <f>IFERROR(VLOOKUP(H284,Lijsten!$H$1:$I$100,2,0),"")</f>
        <v/>
      </c>
      <c r="N284" s="89" t="str" cm="1">
        <f t="array" ref="N284">IFERROR(_xlfn.IFS(AND(LEFT(F284,6)="Arbeid",RIGHT(F284,3)&lt;&gt;"IKS"),IFERROR(VLOOKUP($G284,Tb_KostenTypen[],2,0),"tarief"),RIGHT(F284,3)="IKS","Uurtarief",LEFT(F284,6)="Arbeid","Uurtarief",AND(LEFT(F284,8)="Bijdrage",RIGHT(F284,15)="(vrijwilligers)"),"Vast tarief"),"")</f>
        <v/>
      </c>
      <c r="O284" s="90"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0"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1"/>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59"/>
      <c r="Z284" s="49"/>
      <c r="AA284" s="37" t="str" cm="1">
        <f t="array" ref="AA284">IFERROR(IF(INDEX(SubsidieTabel!$Q$1:$T$9,MATCH($F284,SubsidieTabel!$Q$1:$Q$9,0),IFERROR(MATCH(Methode_Keuze,SubsidieTabel!$Q$1:$T$1,0),2))&lt;&gt;1=TRUE,"ja",""),"")</f>
        <v/>
      </c>
    </row>
    <row r="285" spans="1:27" ht="15" customHeight="1" x14ac:dyDescent="0.25">
      <c r="A285" s="85"/>
      <c r="B285" s="217" t="str">
        <f>IF(A285&lt;&gt;"",_xlfn.MAXIFS($B$1:B284,$A$1:A284,A285)+1,"")</f>
        <v/>
      </c>
      <c r="C285" s="50"/>
      <c r="D285" s="50"/>
      <c r="E285" s="50"/>
      <c r="F285" s="50"/>
      <c r="G285" s="280"/>
      <c r="H285" s="293"/>
      <c r="I285" s="292"/>
      <c r="J285" s="292"/>
      <c r="K285" s="200"/>
      <c r="L285" s="200"/>
      <c r="M285" s="89" t="str">
        <f>IFERROR(VLOOKUP(H285,Lijsten!$H$1:$I$100,2,0),"")</f>
        <v/>
      </c>
      <c r="N285" s="89" t="str" cm="1">
        <f t="array" ref="N285">IFERROR(_xlfn.IFS(AND(LEFT(F285,6)="Arbeid",RIGHT(F285,3)&lt;&gt;"IKS"),IFERROR(VLOOKUP($G285,Tb_KostenTypen[],2,0),"tarief"),RIGHT(F285,3)="IKS","Uurtarief",LEFT(F285,6)="Arbeid","Uurtarief",AND(LEFT(F285,8)="Bijdrage",RIGHT(F285,15)="(vrijwilligers)"),"Vast tarief"),"")</f>
        <v/>
      </c>
      <c r="O285" s="90"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0"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1"/>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59"/>
      <c r="Z285" s="49"/>
      <c r="AA285" s="37" t="str" cm="1">
        <f t="array" ref="AA285">IFERROR(IF(INDEX(SubsidieTabel!$Q$1:$T$9,MATCH($F285,SubsidieTabel!$Q$1:$Q$9,0),IFERROR(MATCH(Methode_Keuze,SubsidieTabel!$Q$1:$T$1,0),2))&lt;&gt;1=TRUE,"ja",""),"")</f>
        <v/>
      </c>
    </row>
    <row r="286" spans="1:27" ht="15" customHeight="1" x14ac:dyDescent="0.25">
      <c r="A286" s="85"/>
      <c r="B286" s="217" t="str">
        <f>IF(A286&lt;&gt;"",_xlfn.MAXIFS($B$1:B285,$A$1:A285,A286)+1,"")</f>
        <v/>
      </c>
      <c r="C286" s="50"/>
      <c r="D286" s="50"/>
      <c r="E286" s="50"/>
      <c r="F286" s="50"/>
      <c r="G286" s="280"/>
      <c r="H286" s="293"/>
      <c r="I286" s="292"/>
      <c r="J286" s="292"/>
      <c r="K286" s="200"/>
      <c r="L286" s="200"/>
      <c r="M286" s="89" t="str">
        <f>IFERROR(VLOOKUP(H286,Lijsten!$H$1:$I$100,2,0),"")</f>
        <v/>
      </c>
      <c r="N286" s="89" t="str" cm="1">
        <f t="array" ref="N286">IFERROR(_xlfn.IFS(AND(LEFT(F286,6)="Arbeid",RIGHT(F286,3)&lt;&gt;"IKS"),IFERROR(VLOOKUP($G286,Tb_KostenTypen[],2,0),"tarief"),RIGHT(F286,3)="IKS","Uurtarief",LEFT(F286,6)="Arbeid","Uurtarief",AND(LEFT(F286,8)="Bijdrage",RIGHT(F286,15)="(vrijwilligers)"),"Vast tarief"),"")</f>
        <v/>
      </c>
      <c r="O286" s="90"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0"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1"/>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59"/>
      <c r="Z286" s="49"/>
      <c r="AA286" s="37" t="str" cm="1">
        <f t="array" ref="AA286">IFERROR(IF(INDEX(SubsidieTabel!$Q$1:$T$9,MATCH($F286,SubsidieTabel!$Q$1:$Q$9,0),IFERROR(MATCH(Methode_Keuze,SubsidieTabel!$Q$1:$T$1,0),2))&lt;&gt;1=TRUE,"ja",""),"")</f>
        <v/>
      </c>
    </row>
    <row r="287" spans="1:27" ht="15" customHeight="1" x14ac:dyDescent="0.25">
      <c r="A287" s="85"/>
      <c r="B287" s="217" t="str">
        <f>IF(A287&lt;&gt;"",_xlfn.MAXIFS($B$1:B286,$A$1:A286,A287)+1,"")</f>
        <v/>
      </c>
      <c r="C287" s="50"/>
      <c r="D287" s="50"/>
      <c r="E287" s="50"/>
      <c r="F287" s="50"/>
      <c r="G287" s="280"/>
      <c r="H287" s="293"/>
      <c r="I287" s="292"/>
      <c r="J287" s="292"/>
      <c r="K287" s="200"/>
      <c r="L287" s="200"/>
      <c r="M287" s="89" t="str">
        <f>IFERROR(VLOOKUP(H287,Lijsten!$H$1:$I$100,2,0),"")</f>
        <v/>
      </c>
      <c r="N287" s="89" t="str" cm="1">
        <f t="array" ref="N287">IFERROR(_xlfn.IFS(AND(LEFT(F287,6)="Arbeid",RIGHT(F287,3)&lt;&gt;"IKS"),IFERROR(VLOOKUP($G287,Tb_KostenTypen[],2,0),"tarief"),RIGHT(F287,3)="IKS","Uurtarief",LEFT(F287,6)="Arbeid","Uurtarief",AND(LEFT(F287,8)="Bijdrage",RIGHT(F287,15)="(vrijwilligers)"),"Vast tarief"),"")</f>
        <v/>
      </c>
      <c r="O287" s="90"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0"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1"/>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59"/>
      <c r="Z287" s="49"/>
      <c r="AA287" s="37" t="str" cm="1">
        <f t="array" ref="AA287">IFERROR(IF(INDEX(SubsidieTabel!$Q$1:$T$9,MATCH($F287,SubsidieTabel!$Q$1:$Q$9,0),IFERROR(MATCH(Methode_Keuze,SubsidieTabel!$Q$1:$T$1,0),2))&lt;&gt;1=TRUE,"ja",""),"")</f>
        <v/>
      </c>
    </row>
    <row r="288" spans="1:27" ht="15" customHeight="1" x14ac:dyDescent="0.25">
      <c r="A288" s="85"/>
      <c r="B288" s="217" t="str">
        <f>IF(A288&lt;&gt;"",_xlfn.MAXIFS($B$1:B287,$A$1:A287,A288)+1,"")</f>
        <v/>
      </c>
      <c r="C288" s="50"/>
      <c r="D288" s="50"/>
      <c r="E288" s="50"/>
      <c r="F288" s="50"/>
      <c r="G288" s="280"/>
      <c r="H288" s="293"/>
      <c r="I288" s="292"/>
      <c r="J288" s="292"/>
      <c r="K288" s="200"/>
      <c r="L288" s="200"/>
      <c r="M288" s="89" t="str">
        <f>IFERROR(VLOOKUP(H288,Lijsten!$H$1:$I$100,2,0),"")</f>
        <v/>
      </c>
      <c r="N288" s="89" t="str" cm="1">
        <f t="array" ref="N288">IFERROR(_xlfn.IFS(AND(LEFT(F288,6)="Arbeid",RIGHT(F288,3)&lt;&gt;"IKS"),IFERROR(VLOOKUP($G288,Tb_KostenTypen[],2,0),"tarief"),RIGHT(F288,3)="IKS","Uurtarief",LEFT(F288,6)="Arbeid","Uurtarief",AND(LEFT(F288,8)="Bijdrage",RIGHT(F288,15)="(vrijwilligers)"),"Vast tarief"),"")</f>
        <v/>
      </c>
      <c r="O288" s="90"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0"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1"/>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59"/>
      <c r="Z288" s="49"/>
      <c r="AA288" s="37" t="str" cm="1">
        <f t="array" ref="AA288">IFERROR(IF(INDEX(SubsidieTabel!$Q$1:$T$9,MATCH($F288,SubsidieTabel!$Q$1:$Q$9,0),IFERROR(MATCH(Methode_Keuze,SubsidieTabel!$Q$1:$T$1,0),2))&lt;&gt;1=TRUE,"ja",""),"")</f>
        <v/>
      </c>
    </row>
    <row r="289" spans="1:27" ht="15" customHeight="1" x14ac:dyDescent="0.25">
      <c r="A289" s="85"/>
      <c r="B289" s="217" t="str">
        <f>IF(A289&lt;&gt;"",_xlfn.MAXIFS($B$1:B288,$A$1:A288,A289)+1,"")</f>
        <v/>
      </c>
      <c r="C289" s="50"/>
      <c r="D289" s="50"/>
      <c r="E289" s="50"/>
      <c r="F289" s="50"/>
      <c r="G289" s="280"/>
      <c r="H289" s="293"/>
      <c r="I289" s="292"/>
      <c r="J289" s="292"/>
      <c r="K289" s="200"/>
      <c r="L289" s="200"/>
      <c r="M289" s="89" t="str">
        <f>IFERROR(VLOOKUP(H289,Lijsten!$H$1:$I$100,2,0),"")</f>
        <v/>
      </c>
      <c r="N289" s="89" t="str" cm="1">
        <f t="array" ref="N289">IFERROR(_xlfn.IFS(AND(LEFT(F289,6)="Arbeid",RIGHT(F289,3)&lt;&gt;"IKS"),IFERROR(VLOOKUP($G289,Tb_KostenTypen[],2,0),"tarief"),RIGHT(F289,3)="IKS","Uurtarief",LEFT(F289,6)="Arbeid","Uurtarief",AND(LEFT(F289,8)="Bijdrage",RIGHT(F289,15)="(vrijwilligers)"),"Vast tarief"),"")</f>
        <v/>
      </c>
      <c r="O289" s="90"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0"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1"/>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59"/>
      <c r="Z289" s="49"/>
      <c r="AA289" s="37" t="str" cm="1">
        <f t="array" ref="AA289">IFERROR(IF(INDEX(SubsidieTabel!$Q$1:$T$9,MATCH($F289,SubsidieTabel!$Q$1:$Q$9,0),IFERROR(MATCH(Methode_Keuze,SubsidieTabel!$Q$1:$T$1,0),2))&lt;&gt;1=TRUE,"ja",""),"")</f>
        <v/>
      </c>
    </row>
    <row r="290" spans="1:27" ht="15" customHeight="1" x14ac:dyDescent="0.25">
      <c r="A290" s="85"/>
      <c r="B290" s="217" t="str">
        <f>IF(A290&lt;&gt;"",_xlfn.MAXIFS($B$1:B289,$A$1:A289,A290)+1,"")</f>
        <v/>
      </c>
      <c r="C290" s="50"/>
      <c r="D290" s="50"/>
      <c r="E290" s="50"/>
      <c r="F290" s="50"/>
      <c r="G290" s="280"/>
      <c r="H290" s="293"/>
      <c r="I290" s="292"/>
      <c r="J290" s="292"/>
      <c r="K290" s="200"/>
      <c r="L290" s="200"/>
      <c r="M290" s="89" t="str">
        <f>IFERROR(VLOOKUP(H290,Lijsten!$H$1:$I$100,2,0),"")</f>
        <v/>
      </c>
      <c r="N290" s="89" t="str" cm="1">
        <f t="array" ref="N290">IFERROR(_xlfn.IFS(AND(LEFT(F290,6)="Arbeid",RIGHT(F290,3)&lt;&gt;"IKS"),IFERROR(VLOOKUP($G290,Tb_KostenTypen[],2,0),"tarief"),RIGHT(F290,3)="IKS","Uurtarief",LEFT(F290,6)="Arbeid","Uurtarief",AND(LEFT(F290,8)="Bijdrage",RIGHT(F290,15)="(vrijwilligers)"),"Vast tarief"),"")</f>
        <v/>
      </c>
      <c r="O290" s="90"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0"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1"/>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59"/>
      <c r="Z290" s="49"/>
      <c r="AA290" s="37" t="str" cm="1">
        <f t="array" ref="AA290">IFERROR(IF(INDEX(SubsidieTabel!$Q$1:$T$9,MATCH($F290,SubsidieTabel!$Q$1:$Q$9,0),IFERROR(MATCH(Methode_Keuze,SubsidieTabel!$Q$1:$T$1,0),2))&lt;&gt;1=TRUE,"ja",""),"")</f>
        <v/>
      </c>
    </row>
    <row r="291" spans="1:27" ht="15" customHeight="1" x14ac:dyDescent="0.25">
      <c r="A291" s="85"/>
      <c r="B291" s="217" t="str">
        <f>IF(A291&lt;&gt;"",_xlfn.MAXIFS($B$1:B290,$A$1:A290,A291)+1,"")</f>
        <v/>
      </c>
      <c r="C291" s="50"/>
      <c r="D291" s="50"/>
      <c r="E291" s="50"/>
      <c r="F291" s="50"/>
      <c r="G291" s="280"/>
      <c r="H291" s="293"/>
      <c r="I291" s="292"/>
      <c r="J291" s="292"/>
      <c r="K291" s="200"/>
      <c r="L291" s="200"/>
      <c r="M291" s="89" t="str">
        <f>IFERROR(VLOOKUP(H291,Lijsten!$H$1:$I$100,2,0),"")</f>
        <v/>
      </c>
      <c r="N291" s="89" t="str" cm="1">
        <f t="array" ref="N291">IFERROR(_xlfn.IFS(AND(LEFT(F291,6)="Arbeid",RIGHT(F291,3)&lt;&gt;"IKS"),IFERROR(VLOOKUP($G291,Tb_KostenTypen[],2,0),"tarief"),RIGHT(F291,3)="IKS","Uurtarief",LEFT(F291,6)="Arbeid","Uurtarief",AND(LEFT(F291,8)="Bijdrage",RIGHT(F291,15)="(vrijwilligers)"),"Vast tarief"),"")</f>
        <v/>
      </c>
      <c r="O291" s="90"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0"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1"/>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59"/>
      <c r="Z291" s="49"/>
      <c r="AA291" s="37" t="str" cm="1">
        <f t="array" ref="AA291">IFERROR(IF(INDEX(SubsidieTabel!$Q$1:$T$9,MATCH($F291,SubsidieTabel!$Q$1:$Q$9,0),IFERROR(MATCH(Methode_Keuze,SubsidieTabel!$Q$1:$T$1,0),2))&lt;&gt;1=TRUE,"ja",""),"")</f>
        <v/>
      </c>
    </row>
    <row r="292" spans="1:27" ht="15" customHeight="1" x14ac:dyDescent="0.25">
      <c r="A292" s="85"/>
      <c r="B292" s="217" t="str">
        <f>IF(A292&lt;&gt;"",_xlfn.MAXIFS($B$1:B291,$A$1:A291,A292)+1,"")</f>
        <v/>
      </c>
      <c r="C292" s="50"/>
      <c r="D292" s="50"/>
      <c r="E292" s="50"/>
      <c r="F292" s="50"/>
      <c r="G292" s="280"/>
      <c r="H292" s="293"/>
      <c r="I292" s="292"/>
      <c r="J292" s="292"/>
      <c r="K292" s="200"/>
      <c r="L292" s="200"/>
      <c r="M292" s="89" t="str">
        <f>IFERROR(VLOOKUP(H292,Lijsten!$H$1:$I$100,2,0),"")</f>
        <v/>
      </c>
      <c r="N292" s="89" t="str" cm="1">
        <f t="array" ref="N292">IFERROR(_xlfn.IFS(AND(LEFT(F292,6)="Arbeid",RIGHT(F292,3)&lt;&gt;"IKS"),IFERROR(VLOOKUP($G292,Tb_KostenTypen[],2,0),"tarief"),RIGHT(F292,3)="IKS","Uurtarief",LEFT(F292,6)="Arbeid","Uurtarief",AND(LEFT(F292,8)="Bijdrage",RIGHT(F292,15)="(vrijwilligers)"),"Vast tarief"),"")</f>
        <v/>
      </c>
      <c r="O292" s="90"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0"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1"/>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59"/>
      <c r="Z292" s="49"/>
      <c r="AA292" s="37" t="str" cm="1">
        <f t="array" ref="AA292">IFERROR(IF(INDEX(SubsidieTabel!$Q$1:$T$9,MATCH($F292,SubsidieTabel!$Q$1:$Q$9,0),IFERROR(MATCH(Methode_Keuze,SubsidieTabel!$Q$1:$T$1,0),2))&lt;&gt;1=TRUE,"ja",""),"")</f>
        <v/>
      </c>
    </row>
    <row r="293" spans="1:27" ht="15" customHeight="1" x14ac:dyDescent="0.25">
      <c r="A293" s="85"/>
      <c r="B293" s="217" t="str">
        <f>IF(A293&lt;&gt;"",_xlfn.MAXIFS($B$1:B292,$A$1:A292,A293)+1,"")</f>
        <v/>
      </c>
      <c r="C293" s="50"/>
      <c r="D293" s="50"/>
      <c r="E293" s="50"/>
      <c r="F293" s="50"/>
      <c r="G293" s="280"/>
      <c r="H293" s="293"/>
      <c r="I293" s="292"/>
      <c r="J293" s="292"/>
      <c r="K293" s="200"/>
      <c r="L293" s="200"/>
      <c r="M293" s="89" t="str">
        <f>IFERROR(VLOOKUP(H293,Lijsten!$H$1:$I$100,2,0),"")</f>
        <v/>
      </c>
      <c r="N293" s="89" t="str" cm="1">
        <f t="array" ref="N293">IFERROR(_xlfn.IFS(AND(LEFT(F293,6)="Arbeid",RIGHT(F293,3)&lt;&gt;"IKS"),IFERROR(VLOOKUP($G293,Tb_KostenTypen[],2,0),"tarief"),RIGHT(F293,3)="IKS","Uurtarief",LEFT(F293,6)="Arbeid","Uurtarief",AND(LEFT(F293,8)="Bijdrage",RIGHT(F293,15)="(vrijwilligers)"),"Vast tarief"),"")</f>
        <v/>
      </c>
      <c r="O293" s="90"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0"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1"/>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59"/>
      <c r="Z293" s="49"/>
      <c r="AA293" s="37" t="str" cm="1">
        <f t="array" ref="AA293">IFERROR(IF(INDEX(SubsidieTabel!$Q$1:$T$9,MATCH($F293,SubsidieTabel!$Q$1:$Q$9,0),IFERROR(MATCH(Methode_Keuze,SubsidieTabel!$Q$1:$T$1,0),2))&lt;&gt;1=TRUE,"ja",""),"")</f>
        <v/>
      </c>
    </row>
    <row r="294" spans="1:27" ht="15" customHeight="1" x14ac:dyDescent="0.25">
      <c r="A294" s="85"/>
      <c r="B294" s="217" t="str">
        <f>IF(A294&lt;&gt;"",_xlfn.MAXIFS($B$1:B293,$A$1:A293,A294)+1,"")</f>
        <v/>
      </c>
      <c r="C294" s="50"/>
      <c r="D294" s="50"/>
      <c r="E294" s="50"/>
      <c r="F294" s="50"/>
      <c r="G294" s="280"/>
      <c r="H294" s="293"/>
      <c r="I294" s="292"/>
      <c r="J294" s="292"/>
      <c r="K294" s="200"/>
      <c r="L294" s="200"/>
      <c r="M294" s="89" t="str">
        <f>IFERROR(VLOOKUP(H294,Lijsten!$H$1:$I$100,2,0),"")</f>
        <v/>
      </c>
      <c r="N294" s="89" t="str" cm="1">
        <f t="array" ref="N294">IFERROR(_xlfn.IFS(AND(LEFT(F294,6)="Arbeid",RIGHT(F294,3)&lt;&gt;"IKS"),IFERROR(VLOOKUP($G294,Tb_KostenTypen[],2,0),"tarief"),RIGHT(F294,3)="IKS","Uurtarief",LEFT(F294,6)="Arbeid","Uurtarief",AND(LEFT(F294,8)="Bijdrage",RIGHT(F294,15)="(vrijwilligers)"),"Vast tarief"),"")</f>
        <v/>
      </c>
      <c r="O294" s="90"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0"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1"/>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59"/>
      <c r="Z294" s="49"/>
      <c r="AA294" s="37" t="str" cm="1">
        <f t="array" ref="AA294">IFERROR(IF(INDEX(SubsidieTabel!$Q$1:$T$9,MATCH($F294,SubsidieTabel!$Q$1:$Q$9,0),IFERROR(MATCH(Methode_Keuze,SubsidieTabel!$Q$1:$T$1,0),2))&lt;&gt;1=TRUE,"ja",""),"")</f>
        <v/>
      </c>
    </row>
    <row r="295" spans="1:27" ht="15" customHeight="1" x14ac:dyDescent="0.25">
      <c r="A295" s="85"/>
      <c r="B295" s="217" t="str">
        <f>IF(A295&lt;&gt;"",_xlfn.MAXIFS($B$1:B294,$A$1:A294,A295)+1,"")</f>
        <v/>
      </c>
      <c r="C295" s="50"/>
      <c r="D295" s="50"/>
      <c r="E295" s="50"/>
      <c r="F295" s="50"/>
      <c r="G295" s="280"/>
      <c r="H295" s="293"/>
      <c r="I295" s="292"/>
      <c r="J295" s="292"/>
      <c r="K295" s="200"/>
      <c r="L295" s="200"/>
      <c r="M295" s="89" t="str">
        <f>IFERROR(VLOOKUP(H295,Lijsten!$H$1:$I$100,2,0),"")</f>
        <v/>
      </c>
      <c r="N295" s="89" t="str" cm="1">
        <f t="array" ref="N295">IFERROR(_xlfn.IFS(AND(LEFT(F295,6)="Arbeid",RIGHT(F295,3)&lt;&gt;"IKS"),IFERROR(VLOOKUP($G295,Tb_KostenTypen[],2,0),"tarief"),RIGHT(F295,3)="IKS","Uurtarief",LEFT(F295,6)="Arbeid","Uurtarief",AND(LEFT(F295,8)="Bijdrage",RIGHT(F295,15)="(vrijwilligers)"),"Vast tarief"),"")</f>
        <v/>
      </c>
      <c r="O295" s="90"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0"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1"/>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59"/>
      <c r="Z295" s="49"/>
      <c r="AA295" s="37" t="str" cm="1">
        <f t="array" ref="AA295">IFERROR(IF(INDEX(SubsidieTabel!$Q$1:$T$9,MATCH($F295,SubsidieTabel!$Q$1:$Q$9,0),IFERROR(MATCH(Methode_Keuze,SubsidieTabel!$Q$1:$T$1,0),2))&lt;&gt;1=TRUE,"ja",""),"")</f>
        <v/>
      </c>
    </row>
    <row r="296" spans="1:27" ht="15" customHeight="1" x14ac:dyDescent="0.25">
      <c r="A296" s="85"/>
      <c r="B296" s="217" t="str">
        <f>IF(A296&lt;&gt;"",_xlfn.MAXIFS($B$1:B295,$A$1:A295,A296)+1,"")</f>
        <v/>
      </c>
      <c r="C296" s="50"/>
      <c r="D296" s="50"/>
      <c r="E296" s="50"/>
      <c r="F296" s="50"/>
      <c r="G296" s="280"/>
      <c r="H296" s="293"/>
      <c r="I296" s="292"/>
      <c r="J296" s="292"/>
      <c r="K296" s="200"/>
      <c r="L296" s="200"/>
      <c r="M296" s="89" t="str">
        <f>IFERROR(VLOOKUP(H296,Lijsten!$H$1:$I$100,2,0),"")</f>
        <v/>
      </c>
      <c r="N296" s="89" t="str" cm="1">
        <f t="array" ref="N296">IFERROR(_xlfn.IFS(AND(LEFT(F296,6)="Arbeid",RIGHT(F296,3)&lt;&gt;"IKS"),IFERROR(VLOOKUP($G296,Tb_KostenTypen[],2,0),"tarief"),RIGHT(F296,3)="IKS","Uurtarief",LEFT(F296,6)="Arbeid","Uurtarief",AND(LEFT(F296,8)="Bijdrage",RIGHT(F296,15)="(vrijwilligers)"),"Vast tarief"),"")</f>
        <v/>
      </c>
      <c r="O296" s="90"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0"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1"/>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59"/>
      <c r="Z296" s="49"/>
      <c r="AA296" s="37" t="str" cm="1">
        <f t="array" ref="AA296">IFERROR(IF(INDEX(SubsidieTabel!$Q$1:$T$9,MATCH($F296,SubsidieTabel!$Q$1:$Q$9,0),IFERROR(MATCH(Methode_Keuze,SubsidieTabel!$Q$1:$T$1,0),2))&lt;&gt;1=TRUE,"ja",""),"")</f>
        <v/>
      </c>
    </row>
    <row r="297" spans="1:27" ht="15" customHeight="1" x14ac:dyDescent="0.25">
      <c r="A297" s="85"/>
      <c r="B297" s="217" t="str">
        <f>IF(A297&lt;&gt;"",_xlfn.MAXIFS($B$1:B296,$A$1:A296,A297)+1,"")</f>
        <v/>
      </c>
      <c r="C297" s="50"/>
      <c r="D297" s="50"/>
      <c r="E297" s="50"/>
      <c r="F297" s="50"/>
      <c r="G297" s="280"/>
      <c r="H297" s="293"/>
      <c r="I297" s="292"/>
      <c r="J297" s="292"/>
      <c r="K297" s="200"/>
      <c r="L297" s="200"/>
      <c r="M297" s="89" t="str">
        <f>IFERROR(VLOOKUP(H297,Lijsten!$H$1:$I$100,2,0),"")</f>
        <v/>
      </c>
      <c r="N297" s="89" t="str" cm="1">
        <f t="array" ref="N297">IFERROR(_xlfn.IFS(AND(LEFT(F297,6)="Arbeid",RIGHT(F297,3)&lt;&gt;"IKS"),IFERROR(VLOOKUP($G297,Tb_KostenTypen[],2,0),"tarief"),RIGHT(F297,3)="IKS","Uurtarief",LEFT(F297,6)="Arbeid","Uurtarief",AND(LEFT(F297,8)="Bijdrage",RIGHT(F297,15)="(vrijwilligers)"),"Vast tarief"),"")</f>
        <v/>
      </c>
      <c r="O297" s="90"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0"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1"/>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59"/>
      <c r="Z297" s="49"/>
      <c r="AA297" s="37" t="str" cm="1">
        <f t="array" ref="AA297">IFERROR(IF(INDEX(SubsidieTabel!$Q$1:$T$9,MATCH($F297,SubsidieTabel!$Q$1:$Q$9,0),IFERROR(MATCH(Methode_Keuze,SubsidieTabel!$Q$1:$T$1,0),2))&lt;&gt;1=TRUE,"ja",""),"")</f>
        <v/>
      </c>
    </row>
    <row r="298" spans="1:27" ht="15" customHeight="1" x14ac:dyDescent="0.25">
      <c r="A298" s="85"/>
      <c r="B298" s="217" t="str">
        <f>IF(A298&lt;&gt;"",_xlfn.MAXIFS($B$1:B297,$A$1:A297,A298)+1,"")</f>
        <v/>
      </c>
      <c r="C298" s="50"/>
      <c r="D298" s="50"/>
      <c r="E298" s="50"/>
      <c r="F298" s="50"/>
      <c r="G298" s="280"/>
      <c r="H298" s="293"/>
      <c r="I298" s="292"/>
      <c r="J298" s="292"/>
      <c r="K298" s="200"/>
      <c r="L298" s="200"/>
      <c r="M298" s="89" t="str">
        <f>IFERROR(VLOOKUP(H298,Lijsten!$H$1:$I$100,2,0),"")</f>
        <v/>
      </c>
      <c r="N298" s="89" t="str" cm="1">
        <f t="array" ref="N298">IFERROR(_xlfn.IFS(AND(LEFT(F298,6)="Arbeid",RIGHT(F298,3)&lt;&gt;"IKS"),IFERROR(VLOOKUP($G298,Tb_KostenTypen[],2,0),"tarief"),RIGHT(F298,3)="IKS","Uurtarief",LEFT(F298,6)="Arbeid","Uurtarief",AND(LEFT(F298,8)="Bijdrage",RIGHT(F298,15)="(vrijwilligers)"),"Vast tarief"),"")</f>
        <v/>
      </c>
      <c r="O298" s="90"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0"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1"/>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59"/>
      <c r="Z298" s="49"/>
      <c r="AA298" s="37" t="str" cm="1">
        <f t="array" ref="AA298">IFERROR(IF(INDEX(SubsidieTabel!$Q$1:$T$9,MATCH($F298,SubsidieTabel!$Q$1:$Q$9,0),IFERROR(MATCH(Methode_Keuze,SubsidieTabel!$Q$1:$T$1,0),2))&lt;&gt;1=TRUE,"ja",""),"")</f>
        <v/>
      </c>
    </row>
    <row r="299" spans="1:27" ht="15" customHeight="1" x14ac:dyDescent="0.25">
      <c r="A299" s="85"/>
      <c r="B299" s="217" t="str">
        <f>IF(A299&lt;&gt;"",_xlfn.MAXIFS($B$1:B298,$A$1:A298,A299)+1,"")</f>
        <v/>
      </c>
      <c r="C299" s="50"/>
      <c r="D299" s="50"/>
      <c r="E299" s="50"/>
      <c r="F299" s="50"/>
      <c r="G299" s="280"/>
      <c r="H299" s="293"/>
      <c r="I299" s="292"/>
      <c r="J299" s="292"/>
      <c r="K299" s="200"/>
      <c r="L299" s="200"/>
      <c r="M299" s="89" t="str">
        <f>IFERROR(VLOOKUP(H299,Lijsten!$H$1:$I$100,2,0),"")</f>
        <v/>
      </c>
      <c r="N299" s="89" t="str" cm="1">
        <f t="array" ref="N299">IFERROR(_xlfn.IFS(AND(LEFT(F299,6)="Arbeid",RIGHT(F299,3)&lt;&gt;"IKS"),IFERROR(VLOOKUP($G299,Tb_KostenTypen[],2,0),"tarief"),RIGHT(F299,3)="IKS","Uurtarief",LEFT(F299,6)="Arbeid","Uurtarief",AND(LEFT(F299,8)="Bijdrage",RIGHT(F299,15)="(vrijwilligers)"),"Vast tarief"),"")</f>
        <v/>
      </c>
      <c r="O299" s="90"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0"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1"/>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59"/>
      <c r="Z299" s="49"/>
      <c r="AA299" s="37" t="str" cm="1">
        <f t="array" ref="AA299">IFERROR(IF(INDEX(SubsidieTabel!$Q$1:$T$9,MATCH($F299,SubsidieTabel!$Q$1:$Q$9,0),IFERROR(MATCH(Methode_Keuze,SubsidieTabel!$Q$1:$T$1,0),2))&lt;&gt;1=TRUE,"ja",""),"")</f>
        <v/>
      </c>
    </row>
    <row r="300" spans="1:27" ht="15" customHeight="1" x14ac:dyDescent="0.25">
      <c r="A300" s="85"/>
      <c r="B300" s="217" t="str">
        <f>IF(A300&lt;&gt;"",_xlfn.MAXIFS($B$1:B299,$A$1:A299,A300)+1,"")</f>
        <v/>
      </c>
      <c r="C300" s="50"/>
      <c r="D300" s="50"/>
      <c r="E300" s="50"/>
      <c r="F300" s="50"/>
      <c r="G300" s="280"/>
      <c r="H300" s="293"/>
      <c r="I300" s="292"/>
      <c r="J300" s="292"/>
      <c r="K300" s="200"/>
      <c r="L300" s="200"/>
      <c r="M300" s="89" t="str">
        <f>IFERROR(VLOOKUP(H300,Lijsten!$H$1:$I$100,2,0),"")</f>
        <v/>
      </c>
      <c r="N300" s="89" t="str" cm="1">
        <f t="array" ref="N300">IFERROR(_xlfn.IFS(AND(LEFT(F300,6)="Arbeid",RIGHT(F300,3)&lt;&gt;"IKS"),IFERROR(VLOOKUP($G300,Tb_KostenTypen[],2,0),"tarief"),RIGHT(F300,3)="IKS","Uurtarief",LEFT(F300,6)="Arbeid","Uurtarief",AND(LEFT(F300,8)="Bijdrage",RIGHT(F300,15)="(vrijwilligers)"),"Vast tarief"),"")</f>
        <v/>
      </c>
      <c r="O300" s="90"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0"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1"/>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59"/>
      <c r="Z300" s="49"/>
      <c r="AA300" s="37" t="str" cm="1">
        <f t="array" ref="AA300">IFERROR(IF(INDEX(SubsidieTabel!$Q$1:$T$9,MATCH($F300,SubsidieTabel!$Q$1:$Q$9,0),IFERROR(MATCH(Methode_Keuze,SubsidieTabel!$Q$1:$T$1,0),2))&lt;&gt;1=TRUE,"ja",""),"")</f>
        <v/>
      </c>
    </row>
    <row r="301" spans="1:27" ht="15" customHeight="1" x14ac:dyDescent="0.25">
      <c r="A301" s="85"/>
      <c r="B301" s="217" t="str">
        <f>IF(A301&lt;&gt;"",_xlfn.MAXIFS($B$1:B300,$A$1:A300,A301)+1,"")</f>
        <v/>
      </c>
      <c r="C301" s="50"/>
      <c r="D301" s="50"/>
      <c r="E301" s="50"/>
      <c r="F301" s="50"/>
      <c r="G301" s="280"/>
      <c r="H301" s="293"/>
      <c r="I301" s="292"/>
      <c r="J301" s="292"/>
      <c r="K301" s="200"/>
      <c r="L301" s="200"/>
      <c r="M301" s="89" t="str">
        <f>IFERROR(VLOOKUP(H301,Lijsten!$H$1:$I$100,2,0),"")</f>
        <v/>
      </c>
      <c r="N301" s="89" t="str" cm="1">
        <f t="array" ref="N301">IFERROR(_xlfn.IFS(AND(LEFT(F301,6)="Arbeid",RIGHT(F301,3)&lt;&gt;"IKS"),IFERROR(VLOOKUP($G301,Tb_KostenTypen[],2,0),"tarief"),RIGHT(F301,3)="IKS","Uurtarief",LEFT(F301,6)="Arbeid","Uurtarief",AND(LEFT(F301,8)="Bijdrage",RIGHT(F301,15)="(vrijwilligers)"),"Vast tarief"),"")</f>
        <v/>
      </c>
      <c r="O301" s="90"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0"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1"/>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59"/>
      <c r="Z301" s="49"/>
      <c r="AA301" s="37" t="str" cm="1">
        <f t="array" ref="AA301">IFERROR(IF(INDEX(SubsidieTabel!$Q$1:$T$9,MATCH($F301,SubsidieTabel!$Q$1:$Q$9,0),IFERROR(MATCH(Methode_Keuze,SubsidieTabel!$Q$1:$T$1,0),2))&lt;&gt;1=TRUE,"ja",""),"")</f>
        <v/>
      </c>
    </row>
    <row r="302" spans="1:27" ht="15" customHeight="1" x14ac:dyDescent="0.25">
      <c r="A302" s="85"/>
      <c r="B302" s="217" t="str">
        <f>IF(A302&lt;&gt;"",_xlfn.MAXIFS($B$1:B301,$A$1:A301,A302)+1,"")</f>
        <v/>
      </c>
      <c r="C302" s="50"/>
      <c r="D302" s="50"/>
      <c r="E302" s="50"/>
      <c r="F302" s="50"/>
      <c r="G302" s="280"/>
      <c r="H302" s="293"/>
      <c r="I302" s="292"/>
      <c r="J302" s="292"/>
      <c r="K302" s="200"/>
      <c r="L302" s="200"/>
      <c r="M302" s="89" t="str">
        <f>IFERROR(VLOOKUP(H302,Lijsten!$H$1:$I$100,2,0),"")</f>
        <v/>
      </c>
      <c r="N302" s="89" t="str" cm="1">
        <f t="array" ref="N302">IFERROR(_xlfn.IFS(AND(LEFT(F302,6)="Arbeid",RIGHT(F302,3)&lt;&gt;"IKS"),IFERROR(VLOOKUP($G302,Tb_KostenTypen[],2,0),"tarief"),RIGHT(F302,3)="IKS","Uurtarief",LEFT(F302,6)="Arbeid","Uurtarief",AND(LEFT(F302,8)="Bijdrage",RIGHT(F302,15)="(vrijwilligers)"),"Vast tarief"),"")</f>
        <v/>
      </c>
      <c r="O302" s="90"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0"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1"/>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59"/>
      <c r="Z302" s="49"/>
      <c r="AA302" s="37" t="str" cm="1">
        <f t="array" ref="AA302">IFERROR(IF(INDEX(SubsidieTabel!$Q$1:$T$9,MATCH($F302,SubsidieTabel!$Q$1:$Q$9,0),IFERROR(MATCH(Methode_Keuze,SubsidieTabel!$Q$1:$T$1,0),2))&lt;&gt;1=TRUE,"ja",""),"")</f>
        <v/>
      </c>
    </row>
    <row r="303" spans="1:27" ht="15" customHeight="1" x14ac:dyDescent="0.25">
      <c r="A303" s="85"/>
      <c r="B303" s="217" t="str">
        <f>IF(A303&lt;&gt;"",_xlfn.MAXIFS($B$1:B302,$A$1:A302,A303)+1,"")</f>
        <v/>
      </c>
      <c r="C303" s="50"/>
      <c r="D303" s="50"/>
      <c r="E303" s="50"/>
      <c r="F303" s="50"/>
      <c r="G303" s="280"/>
      <c r="H303" s="293"/>
      <c r="I303" s="292"/>
      <c r="J303" s="292"/>
      <c r="K303" s="200"/>
      <c r="L303" s="200"/>
      <c r="M303" s="89" t="str">
        <f>IFERROR(VLOOKUP(H303,Lijsten!$H$1:$I$100,2,0),"")</f>
        <v/>
      </c>
      <c r="N303" s="89" t="str" cm="1">
        <f t="array" ref="N303">IFERROR(_xlfn.IFS(AND(LEFT(F303,6)="Arbeid",RIGHT(F303,3)&lt;&gt;"IKS"),IFERROR(VLOOKUP($G303,Tb_KostenTypen[],2,0),"tarief"),RIGHT(F303,3)="IKS","Uurtarief",LEFT(F303,6)="Arbeid","Uurtarief",AND(LEFT(F303,8)="Bijdrage",RIGHT(F303,15)="(vrijwilligers)"),"Vast tarief"),"")</f>
        <v/>
      </c>
      <c r="O303" s="90"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0"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1"/>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59"/>
      <c r="Z303" s="49"/>
      <c r="AA303" s="37" t="str" cm="1">
        <f t="array" ref="AA303">IFERROR(IF(INDEX(SubsidieTabel!$Q$1:$T$9,MATCH($F303,SubsidieTabel!$Q$1:$Q$9,0),IFERROR(MATCH(Methode_Keuze,SubsidieTabel!$Q$1:$T$1,0),2))&lt;&gt;1=TRUE,"ja",""),"")</f>
        <v/>
      </c>
    </row>
    <row r="304" spans="1:27" ht="15" customHeight="1" x14ac:dyDescent="0.25">
      <c r="A304" s="85"/>
      <c r="B304" s="217" t="str">
        <f>IF(A304&lt;&gt;"",_xlfn.MAXIFS($B$1:B303,$A$1:A303,A304)+1,"")</f>
        <v/>
      </c>
      <c r="C304" s="50"/>
      <c r="D304" s="50"/>
      <c r="E304" s="50"/>
      <c r="F304" s="50"/>
      <c r="G304" s="280"/>
      <c r="H304" s="293"/>
      <c r="I304" s="292"/>
      <c r="J304" s="292"/>
      <c r="K304" s="200"/>
      <c r="L304" s="200"/>
      <c r="M304" s="89" t="str">
        <f>IFERROR(VLOOKUP(H304,Lijsten!$H$1:$I$100,2,0),"")</f>
        <v/>
      </c>
      <c r="N304" s="89" t="str" cm="1">
        <f t="array" ref="N304">IFERROR(_xlfn.IFS(AND(LEFT(F304,6)="Arbeid",RIGHT(F304,3)&lt;&gt;"IKS"),IFERROR(VLOOKUP($G304,Tb_KostenTypen[],2,0),"tarief"),RIGHT(F304,3)="IKS","Uurtarief",LEFT(F304,6)="Arbeid","Uurtarief",AND(LEFT(F304,8)="Bijdrage",RIGHT(F304,15)="(vrijwilligers)"),"Vast tarief"),"")</f>
        <v/>
      </c>
      <c r="O304" s="90"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0"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1"/>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59"/>
      <c r="Z304" s="49"/>
      <c r="AA304" s="37" t="str" cm="1">
        <f t="array" ref="AA304">IFERROR(IF(INDEX(SubsidieTabel!$Q$1:$T$9,MATCH($F304,SubsidieTabel!$Q$1:$Q$9,0),IFERROR(MATCH(Methode_Keuze,SubsidieTabel!$Q$1:$T$1,0),2))&lt;&gt;1=TRUE,"ja",""),"")</f>
        <v/>
      </c>
    </row>
    <row r="305" spans="1:27" ht="15" customHeight="1" x14ac:dyDescent="0.25">
      <c r="A305" s="85"/>
      <c r="B305" s="217" t="str">
        <f>IF(A305&lt;&gt;"",_xlfn.MAXIFS($B$1:B304,$A$1:A304,A305)+1,"")</f>
        <v/>
      </c>
      <c r="C305" s="50"/>
      <c r="D305" s="50"/>
      <c r="E305" s="50"/>
      <c r="F305" s="50"/>
      <c r="G305" s="280"/>
      <c r="H305" s="293"/>
      <c r="I305" s="292"/>
      <c r="J305" s="292"/>
      <c r="K305" s="200"/>
      <c r="L305" s="200"/>
      <c r="M305" s="89" t="str">
        <f>IFERROR(VLOOKUP(H305,Lijsten!$H$1:$I$100,2,0),"")</f>
        <v/>
      </c>
      <c r="N305" s="89" t="str" cm="1">
        <f t="array" ref="N305">IFERROR(_xlfn.IFS(AND(LEFT(F305,6)="Arbeid",RIGHT(F305,3)&lt;&gt;"IKS"),IFERROR(VLOOKUP($G305,Tb_KostenTypen[],2,0),"tarief"),RIGHT(F305,3)="IKS","Uurtarief",LEFT(F305,6)="Arbeid","Uurtarief",AND(LEFT(F305,8)="Bijdrage",RIGHT(F305,15)="(vrijwilligers)"),"Vast tarief"),"")</f>
        <v/>
      </c>
      <c r="O305" s="90"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0"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1"/>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59"/>
      <c r="Z305" s="49"/>
      <c r="AA305" s="37" t="str" cm="1">
        <f t="array" ref="AA305">IFERROR(IF(INDEX(SubsidieTabel!$Q$1:$T$9,MATCH($F305,SubsidieTabel!$Q$1:$Q$9,0),IFERROR(MATCH(Methode_Keuze,SubsidieTabel!$Q$1:$T$1,0),2))&lt;&gt;1=TRUE,"ja",""),"")</f>
        <v/>
      </c>
    </row>
    <row r="306" spans="1:27" ht="15" customHeight="1" x14ac:dyDescent="0.25">
      <c r="A306" s="85"/>
      <c r="B306" s="217" t="str">
        <f>IF(A306&lt;&gt;"",_xlfn.MAXIFS($B$1:B305,$A$1:A305,A306)+1,"")</f>
        <v/>
      </c>
      <c r="C306" s="50"/>
      <c r="D306" s="50"/>
      <c r="E306" s="50"/>
      <c r="F306" s="50"/>
      <c r="G306" s="280"/>
      <c r="H306" s="293"/>
      <c r="I306" s="292"/>
      <c r="J306" s="292"/>
      <c r="K306" s="200"/>
      <c r="L306" s="200"/>
      <c r="M306" s="89" t="str">
        <f>IFERROR(VLOOKUP(H306,Lijsten!$H$1:$I$100,2,0),"")</f>
        <v/>
      </c>
      <c r="N306" s="89" t="str" cm="1">
        <f t="array" ref="N306">IFERROR(_xlfn.IFS(AND(LEFT(F306,6)="Arbeid",RIGHT(F306,3)&lt;&gt;"IKS"),IFERROR(VLOOKUP($G306,Tb_KostenTypen[],2,0),"tarief"),RIGHT(F306,3)="IKS","Uurtarief",LEFT(F306,6)="Arbeid","Uurtarief",AND(LEFT(F306,8)="Bijdrage",RIGHT(F306,15)="(vrijwilligers)"),"Vast tarief"),"")</f>
        <v/>
      </c>
      <c r="O306" s="90"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0"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1"/>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59"/>
      <c r="Z306" s="49"/>
      <c r="AA306" s="37" t="str" cm="1">
        <f t="array" ref="AA306">IFERROR(IF(INDEX(SubsidieTabel!$Q$1:$T$9,MATCH($F306,SubsidieTabel!$Q$1:$Q$9,0),IFERROR(MATCH(Methode_Keuze,SubsidieTabel!$Q$1:$T$1,0),2))&lt;&gt;1=TRUE,"ja",""),"")</f>
        <v/>
      </c>
    </row>
    <row r="307" spans="1:27" ht="15" customHeight="1" x14ac:dyDescent="0.25">
      <c r="A307" s="85"/>
      <c r="B307" s="217" t="str">
        <f>IF(A307&lt;&gt;"",_xlfn.MAXIFS($B$1:B306,$A$1:A306,A307)+1,"")</f>
        <v/>
      </c>
      <c r="C307" s="50"/>
      <c r="D307" s="50"/>
      <c r="E307" s="50"/>
      <c r="F307" s="50"/>
      <c r="G307" s="280"/>
      <c r="H307" s="293"/>
      <c r="I307" s="292"/>
      <c r="J307" s="292"/>
      <c r="K307" s="200"/>
      <c r="L307" s="200"/>
      <c r="M307" s="89" t="str">
        <f>IFERROR(VLOOKUP(H307,Lijsten!$H$1:$I$100,2,0),"")</f>
        <v/>
      </c>
      <c r="N307" s="89" t="str" cm="1">
        <f t="array" ref="N307">IFERROR(_xlfn.IFS(AND(LEFT(F307,6)="Arbeid",RIGHT(F307,3)&lt;&gt;"IKS"),IFERROR(VLOOKUP($G307,Tb_KostenTypen[],2,0),"tarief"),RIGHT(F307,3)="IKS","Uurtarief",LEFT(F307,6)="Arbeid","Uurtarief",AND(LEFT(F307,8)="Bijdrage",RIGHT(F307,15)="(vrijwilligers)"),"Vast tarief"),"")</f>
        <v/>
      </c>
      <c r="O307" s="90"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0"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1"/>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59"/>
      <c r="Z307" s="49"/>
      <c r="AA307" s="37" t="str" cm="1">
        <f t="array" ref="AA307">IFERROR(IF(INDEX(SubsidieTabel!$Q$1:$T$9,MATCH($F307,SubsidieTabel!$Q$1:$Q$9,0),IFERROR(MATCH(Methode_Keuze,SubsidieTabel!$Q$1:$T$1,0),2))&lt;&gt;1=TRUE,"ja",""),"")</f>
        <v/>
      </c>
    </row>
    <row r="308" spans="1:27" ht="15" customHeight="1" x14ac:dyDescent="0.25">
      <c r="A308" s="85"/>
      <c r="B308" s="217" t="str">
        <f>IF(A308&lt;&gt;"",_xlfn.MAXIFS($B$1:B307,$A$1:A307,A308)+1,"")</f>
        <v/>
      </c>
      <c r="C308" s="50"/>
      <c r="D308" s="50"/>
      <c r="E308" s="50"/>
      <c r="F308" s="50"/>
      <c r="G308" s="280"/>
      <c r="H308" s="293"/>
      <c r="I308" s="292"/>
      <c r="J308" s="292"/>
      <c r="K308" s="200"/>
      <c r="L308" s="200"/>
      <c r="M308" s="89" t="str">
        <f>IFERROR(VLOOKUP(H308,Lijsten!$H$1:$I$100,2,0),"")</f>
        <v/>
      </c>
      <c r="N308" s="89" t="str" cm="1">
        <f t="array" ref="N308">IFERROR(_xlfn.IFS(AND(LEFT(F308,6)="Arbeid",RIGHT(F308,3)&lt;&gt;"IKS"),IFERROR(VLOOKUP($G308,Tb_KostenTypen[],2,0),"tarief"),RIGHT(F308,3)="IKS","Uurtarief",LEFT(F308,6)="Arbeid","Uurtarief",AND(LEFT(F308,8)="Bijdrage",RIGHT(F308,15)="(vrijwilligers)"),"Vast tarief"),"")</f>
        <v/>
      </c>
      <c r="O308" s="90"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0"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1"/>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59"/>
      <c r="Z308" s="49"/>
      <c r="AA308" s="37" t="str" cm="1">
        <f t="array" ref="AA308">IFERROR(IF(INDEX(SubsidieTabel!$Q$1:$T$9,MATCH($F308,SubsidieTabel!$Q$1:$Q$9,0),IFERROR(MATCH(Methode_Keuze,SubsidieTabel!$Q$1:$T$1,0),2))&lt;&gt;1=TRUE,"ja",""),"")</f>
        <v/>
      </c>
    </row>
    <row r="309" spans="1:27" ht="15" customHeight="1" x14ac:dyDescent="0.25">
      <c r="A309" s="85"/>
      <c r="B309" s="217" t="str">
        <f>IF(A309&lt;&gt;"",_xlfn.MAXIFS($B$1:B308,$A$1:A308,A309)+1,"")</f>
        <v/>
      </c>
      <c r="C309" s="50"/>
      <c r="D309" s="50"/>
      <c r="E309" s="50"/>
      <c r="F309" s="50"/>
      <c r="G309" s="280"/>
      <c r="H309" s="293"/>
      <c r="I309" s="292"/>
      <c r="J309" s="292"/>
      <c r="K309" s="200"/>
      <c r="L309" s="200"/>
      <c r="M309" s="89" t="str">
        <f>IFERROR(VLOOKUP(H309,Lijsten!$H$1:$I$100,2,0),"")</f>
        <v/>
      </c>
      <c r="N309" s="89" t="str" cm="1">
        <f t="array" ref="N309">IFERROR(_xlfn.IFS(AND(LEFT(F309,6)="Arbeid",RIGHT(F309,3)&lt;&gt;"IKS"),IFERROR(VLOOKUP($G309,Tb_KostenTypen[],2,0),"tarief"),RIGHT(F309,3)="IKS","Uurtarief",LEFT(F309,6)="Arbeid","Uurtarief",AND(LEFT(F309,8)="Bijdrage",RIGHT(F309,15)="(vrijwilligers)"),"Vast tarief"),"")</f>
        <v/>
      </c>
      <c r="O309" s="90"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0"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1"/>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59"/>
      <c r="Z309" s="49"/>
      <c r="AA309" s="37" t="str" cm="1">
        <f t="array" ref="AA309">IFERROR(IF(INDEX(SubsidieTabel!$Q$1:$T$9,MATCH($F309,SubsidieTabel!$Q$1:$Q$9,0),IFERROR(MATCH(Methode_Keuze,SubsidieTabel!$Q$1:$T$1,0),2))&lt;&gt;1=TRUE,"ja",""),"")</f>
        <v/>
      </c>
    </row>
    <row r="310" spans="1:27" ht="15" customHeight="1" x14ac:dyDescent="0.25">
      <c r="A310" s="85"/>
      <c r="B310" s="217" t="str">
        <f>IF(A310&lt;&gt;"",_xlfn.MAXIFS($B$1:B309,$A$1:A309,A310)+1,"")</f>
        <v/>
      </c>
      <c r="C310" s="50"/>
      <c r="D310" s="50"/>
      <c r="E310" s="50"/>
      <c r="F310" s="50"/>
      <c r="G310" s="280"/>
      <c r="H310" s="293"/>
      <c r="I310" s="292"/>
      <c r="J310" s="292"/>
      <c r="K310" s="200"/>
      <c r="L310" s="200"/>
      <c r="M310" s="89" t="str">
        <f>IFERROR(VLOOKUP(H310,Lijsten!$H$1:$I$100,2,0),"")</f>
        <v/>
      </c>
      <c r="N310" s="89" t="str" cm="1">
        <f t="array" ref="N310">IFERROR(_xlfn.IFS(AND(LEFT(F310,6)="Arbeid",RIGHT(F310,3)&lt;&gt;"IKS"),IFERROR(VLOOKUP($G310,Tb_KostenTypen[],2,0),"tarief"),RIGHT(F310,3)="IKS","Uurtarief",LEFT(F310,6)="Arbeid","Uurtarief",AND(LEFT(F310,8)="Bijdrage",RIGHT(F310,15)="(vrijwilligers)"),"Vast tarief"),"")</f>
        <v/>
      </c>
      <c r="O310" s="90"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0"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1"/>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59"/>
      <c r="Z310" s="49"/>
      <c r="AA310" s="37" t="str" cm="1">
        <f t="array" ref="AA310">IFERROR(IF(INDEX(SubsidieTabel!$Q$1:$T$9,MATCH($F310,SubsidieTabel!$Q$1:$Q$9,0),IFERROR(MATCH(Methode_Keuze,SubsidieTabel!$Q$1:$T$1,0),2))&lt;&gt;1=TRUE,"ja",""),"")</f>
        <v/>
      </c>
    </row>
    <row r="311" spans="1:27" ht="15" customHeight="1" x14ac:dyDescent="0.25">
      <c r="A311" s="85"/>
      <c r="B311" s="217" t="str">
        <f>IF(A311&lt;&gt;"",_xlfn.MAXIFS($B$1:B310,$A$1:A310,A311)+1,"")</f>
        <v/>
      </c>
      <c r="C311" s="50"/>
      <c r="D311" s="50"/>
      <c r="E311" s="50"/>
      <c r="F311" s="50"/>
      <c r="G311" s="280"/>
      <c r="H311" s="293"/>
      <c r="I311" s="292"/>
      <c r="J311" s="292"/>
      <c r="K311" s="200"/>
      <c r="L311" s="200"/>
      <c r="M311" s="89" t="str">
        <f>IFERROR(VLOOKUP(H311,Lijsten!$H$1:$I$100,2,0),"")</f>
        <v/>
      </c>
      <c r="N311" s="89" t="str" cm="1">
        <f t="array" ref="N311">IFERROR(_xlfn.IFS(AND(LEFT(F311,6)="Arbeid",RIGHT(F311,3)&lt;&gt;"IKS"),IFERROR(VLOOKUP($G311,Tb_KostenTypen[],2,0),"tarief"),RIGHT(F311,3)="IKS","Uurtarief",LEFT(F311,6)="Arbeid","Uurtarief",AND(LEFT(F311,8)="Bijdrage",RIGHT(F311,15)="(vrijwilligers)"),"Vast tarief"),"")</f>
        <v/>
      </c>
      <c r="O311" s="90"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0"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1"/>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59"/>
      <c r="Z311" s="49"/>
      <c r="AA311" s="37" t="str" cm="1">
        <f t="array" ref="AA311">IFERROR(IF(INDEX(SubsidieTabel!$Q$1:$T$9,MATCH($F311,SubsidieTabel!$Q$1:$Q$9,0),IFERROR(MATCH(Methode_Keuze,SubsidieTabel!$Q$1:$T$1,0),2))&lt;&gt;1=TRUE,"ja",""),"")</f>
        <v/>
      </c>
    </row>
    <row r="312" spans="1:27" ht="15" customHeight="1" x14ac:dyDescent="0.25">
      <c r="A312" s="85"/>
      <c r="B312" s="217" t="str">
        <f>IF(A312&lt;&gt;"",_xlfn.MAXIFS($B$1:B311,$A$1:A311,A312)+1,"")</f>
        <v/>
      </c>
      <c r="C312" s="50"/>
      <c r="D312" s="50"/>
      <c r="E312" s="50"/>
      <c r="F312" s="50"/>
      <c r="G312" s="280"/>
      <c r="H312" s="293"/>
      <c r="I312" s="292"/>
      <c r="J312" s="292"/>
      <c r="K312" s="200"/>
      <c r="L312" s="200"/>
      <c r="M312" s="89" t="str">
        <f>IFERROR(VLOOKUP(H312,Lijsten!$H$1:$I$100,2,0),"")</f>
        <v/>
      </c>
      <c r="N312" s="89" t="str" cm="1">
        <f t="array" ref="N312">IFERROR(_xlfn.IFS(AND(LEFT(F312,6)="Arbeid",RIGHT(F312,3)&lt;&gt;"IKS"),IFERROR(VLOOKUP($G312,Tb_KostenTypen[],2,0),"tarief"),RIGHT(F312,3)="IKS","Uurtarief",LEFT(F312,6)="Arbeid","Uurtarief",AND(LEFT(F312,8)="Bijdrage",RIGHT(F312,15)="(vrijwilligers)"),"Vast tarief"),"")</f>
        <v/>
      </c>
      <c r="O312" s="90"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0"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1"/>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59"/>
      <c r="Z312" s="49"/>
      <c r="AA312" s="37" t="str" cm="1">
        <f t="array" ref="AA312">IFERROR(IF(INDEX(SubsidieTabel!$Q$1:$T$9,MATCH($F312,SubsidieTabel!$Q$1:$Q$9,0),IFERROR(MATCH(Methode_Keuze,SubsidieTabel!$Q$1:$T$1,0),2))&lt;&gt;1=TRUE,"ja",""),"")</f>
        <v/>
      </c>
    </row>
    <row r="313" spans="1:27" ht="15" customHeight="1" x14ac:dyDescent="0.25">
      <c r="A313" s="85"/>
      <c r="B313" s="217" t="str">
        <f>IF(A313&lt;&gt;"",_xlfn.MAXIFS($B$1:B312,$A$1:A312,A313)+1,"")</f>
        <v/>
      </c>
      <c r="C313" s="50"/>
      <c r="D313" s="50"/>
      <c r="E313" s="50"/>
      <c r="F313" s="50"/>
      <c r="G313" s="280"/>
      <c r="H313" s="293"/>
      <c r="I313" s="292"/>
      <c r="J313" s="292"/>
      <c r="K313" s="200"/>
      <c r="L313" s="200"/>
      <c r="M313" s="89" t="str">
        <f>IFERROR(VLOOKUP(H313,Lijsten!$H$1:$I$100,2,0),"")</f>
        <v/>
      </c>
      <c r="N313" s="89" t="str" cm="1">
        <f t="array" ref="N313">IFERROR(_xlfn.IFS(AND(LEFT(F313,6)="Arbeid",RIGHT(F313,3)&lt;&gt;"IKS"),IFERROR(VLOOKUP($G313,Tb_KostenTypen[],2,0),"tarief"),RIGHT(F313,3)="IKS","Uurtarief",LEFT(F313,6)="Arbeid","Uurtarief",AND(LEFT(F313,8)="Bijdrage",RIGHT(F313,15)="(vrijwilligers)"),"Vast tarief"),"")</f>
        <v/>
      </c>
      <c r="O313" s="90"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0"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1"/>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59"/>
      <c r="Z313" s="49"/>
      <c r="AA313" s="37" t="str" cm="1">
        <f t="array" ref="AA313">IFERROR(IF(INDEX(SubsidieTabel!$Q$1:$T$9,MATCH($F313,SubsidieTabel!$Q$1:$Q$9,0),IFERROR(MATCH(Methode_Keuze,SubsidieTabel!$Q$1:$T$1,0),2))&lt;&gt;1=TRUE,"ja",""),"")</f>
        <v/>
      </c>
    </row>
    <row r="314" spans="1:27" ht="15" customHeight="1" x14ac:dyDescent="0.25">
      <c r="A314" s="85"/>
      <c r="B314" s="217" t="str">
        <f>IF(A314&lt;&gt;"",_xlfn.MAXIFS($B$1:B313,$A$1:A313,A314)+1,"")</f>
        <v/>
      </c>
      <c r="C314" s="50"/>
      <c r="D314" s="50"/>
      <c r="E314" s="50"/>
      <c r="F314" s="50"/>
      <c r="G314" s="280"/>
      <c r="H314" s="293"/>
      <c r="I314" s="292"/>
      <c r="J314" s="292"/>
      <c r="K314" s="200"/>
      <c r="L314" s="200"/>
      <c r="M314" s="89" t="str">
        <f>IFERROR(VLOOKUP(H314,Lijsten!$H$1:$I$100,2,0),"")</f>
        <v/>
      </c>
      <c r="N314" s="89" t="str" cm="1">
        <f t="array" ref="N314">IFERROR(_xlfn.IFS(AND(LEFT(F314,6)="Arbeid",RIGHT(F314,3)&lt;&gt;"IKS"),IFERROR(VLOOKUP($G314,Tb_KostenTypen[],2,0),"tarief"),RIGHT(F314,3)="IKS","Uurtarief",LEFT(F314,6)="Arbeid","Uurtarief",AND(LEFT(F314,8)="Bijdrage",RIGHT(F314,15)="(vrijwilligers)"),"Vast tarief"),"")</f>
        <v/>
      </c>
      <c r="O314" s="90"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0"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1"/>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59"/>
      <c r="Z314" s="49"/>
      <c r="AA314" s="37" t="str" cm="1">
        <f t="array" ref="AA314">IFERROR(IF(INDEX(SubsidieTabel!$Q$1:$T$9,MATCH($F314,SubsidieTabel!$Q$1:$Q$9,0),IFERROR(MATCH(Methode_Keuze,SubsidieTabel!$Q$1:$T$1,0),2))&lt;&gt;1=TRUE,"ja",""),"")</f>
        <v/>
      </c>
    </row>
    <row r="315" spans="1:27" ht="15" customHeight="1" x14ac:dyDescent="0.25">
      <c r="A315" s="85"/>
      <c r="B315" s="217" t="str">
        <f>IF(A315&lt;&gt;"",_xlfn.MAXIFS($B$1:B314,$A$1:A314,A315)+1,"")</f>
        <v/>
      </c>
      <c r="C315" s="50"/>
      <c r="D315" s="50"/>
      <c r="E315" s="50"/>
      <c r="F315" s="50"/>
      <c r="G315" s="280"/>
      <c r="H315" s="293"/>
      <c r="I315" s="292"/>
      <c r="J315" s="292"/>
      <c r="K315" s="200"/>
      <c r="L315" s="200"/>
      <c r="M315" s="89" t="str">
        <f>IFERROR(VLOOKUP(H315,Lijsten!$H$1:$I$100,2,0),"")</f>
        <v/>
      </c>
      <c r="N315" s="89" t="str" cm="1">
        <f t="array" ref="N315">IFERROR(_xlfn.IFS(AND(LEFT(F315,6)="Arbeid",RIGHT(F315,3)&lt;&gt;"IKS"),IFERROR(VLOOKUP($G315,Tb_KostenTypen[],2,0),"tarief"),RIGHT(F315,3)="IKS","Uurtarief",LEFT(F315,6)="Arbeid","Uurtarief",AND(LEFT(F315,8)="Bijdrage",RIGHT(F315,15)="(vrijwilligers)"),"Vast tarief"),"")</f>
        <v/>
      </c>
      <c r="O315" s="90"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0"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1"/>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59"/>
      <c r="Z315" s="49"/>
      <c r="AA315" s="37" t="str" cm="1">
        <f t="array" ref="AA315">IFERROR(IF(INDEX(SubsidieTabel!$Q$1:$T$9,MATCH($F315,SubsidieTabel!$Q$1:$Q$9,0),IFERROR(MATCH(Methode_Keuze,SubsidieTabel!$Q$1:$T$1,0),2))&lt;&gt;1=TRUE,"ja",""),"")</f>
        <v/>
      </c>
    </row>
    <row r="316" spans="1:27" ht="15" customHeight="1" x14ac:dyDescent="0.25">
      <c r="A316" s="85"/>
      <c r="B316" s="217" t="str">
        <f>IF(A316&lt;&gt;"",_xlfn.MAXIFS($B$1:B315,$A$1:A315,A316)+1,"")</f>
        <v/>
      </c>
      <c r="C316" s="50"/>
      <c r="D316" s="50"/>
      <c r="E316" s="50"/>
      <c r="F316" s="50"/>
      <c r="G316" s="280"/>
      <c r="H316" s="293"/>
      <c r="I316" s="292"/>
      <c r="J316" s="292"/>
      <c r="K316" s="200"/>
      <c r="L316" s="200"/>
      <c r="M316" s="89" t="str">
        <f>IFERROR(VLOOKUP(H316,Lijsten!$H$1:$I$100,2,0),"")</f>
        <v/>
      </c>
      <c r="N316" s="89" t="str" cm="1">
        <f t="array" ref="N316">IFERROR(_xlfn.IFS(AND(LEFT(F316,6)="Arbeid",RIGHT(F316,3)&lt;&gt;"IKS"),IFERROR(VLOOKUP($G316,Tb_KostenTypen[],2,0),"tarief"),RIGHT(F316,3)="IKS","Uurtarief",LEFT(F316,6)="Arbeid","Uurtarief",AND(LEFT(F316,8)="Bijdrage",RIGHT(F316,15)="(vrijwilligers)"),"Vast tarief"),"")</f>
        <v/>
      </c>
      <c r="O316" s="90"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0"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1"/>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59"/>
      <c r="Z316" s="49"/>
      <c r="AA316" s="37" t="str" cm="1">
        <f t="array" ref="AA316">IFERROR(IF(INDEX(SubsidieTabel!$Q$1:$T$9,MATCH($F316,SubsidieTabel!$Q$1:$Q$9,0),IFERROR(MATCH(Methode_Keuze,SubsidieTabel!$Q$1:$T$1,0),2))&lt;&gt;1=TRUE,"ja",""),"")</f>
        <v/>
      </c>
    </row>
    <row r="317" spans="1:27" ht="15" customHeight="1" x14ac:dyDescent="0.25">
      <c r="A317" s="85"/>
      <c r="B317" s="217" t="str">
        <f>IF(A317&lt;&gt;"",_xlfn.MAXIFS($B$1:B316,$A$1:A316,A317)+1,"")</f>
        <v/>
      </c>
      <c r="C317" s="50"/>
      <c r="D317" s="50"/>
      <c r="E317" s="50"/>
      <c r="F317" s="50"/>
      <c r="G317" s="280"/>
      <c r="H317" s="293"/>
      <c r="I317" s="292"/>
      <c r="J317" s="292"/>
      <c r="K317" s="200"/>
      <c r="L317" s="200"/>
      <c r="M317" s="89" t="str">
        <f>IFERROR(VLOOKUP(H317,Lijsten!$H$1:$I$100,2,0),"")</f>
        <v/>
      </c>
      <c r="N317" s="89" t="str" cm="1">
        <f t="array" ref="N317">IFERROR(_xlfn.IFS(AND(LEFT(F317,6)="Arbeid",RIGHT(F317,3)&lt;&gt;"IKS"),IFERROR(VLOOKUP($G317,Tb_KostenTypen[],2,0),"tarief"),RIGHT(F317,3)="IKS","Uurtarief",LEFT(F317,6)="Arbeid","Uurtarief",AND(LEFT(F317,8)="Bijdrage",RIGHT(F317,15)="(vrijwilligers)"),"Vast tarief"),"")</f>
        <v/>
      </c>
      <c r="O317" s="90"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0"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1"/>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59"/>
      <c r="Z317" s="49"/>
      <c r="AA317" s="37" t="str" cm="1">
        <f t="array" ref="AA317">IFERROR(IF(INDEX(SubsidieTabel!$Q$1:$T$9,MATCH($F317,SubsidieTabel!$Q$1:$Q$9,0),IFERROR(MATCH(Methode_Keuze,SubsidieTabel!$Q$1:$T$1,0),2))&lt;&gt;1=TRUE,"ja",""),"")</f>
        <v/>
      </c>
    </row>
    <row r="318" spans="1:27" ht="15" customHeight="1" x14ac:dyDescent="0.25">
      <c r="A318" s="85"/>
      <c r="B318" s="217" t="str">
        <f>IF(A318&lt;&gt;"",_xlfn.MAXIFS($B$1:B317,$A$1:A317,A318)+1,"")</f>
        <v/>
      </c>
      <c r="C318" s="50"/>
      <c r="D318" s="50"/>
      <c r="E318" s="50"/>
      <c r="F318" s="50"/>
      <c r="G318" s="280"/>
      <c r="H318" s="293"/>
      <c r="I318" s="292"/>
      <c r="J318" s="292"/>
      <c r="K318" s="200"/>
      <c r="L318" s="200"/>
      <c r="M318" s="89" t="str">
        <f>IFERROR(VLOOKUP(H318,Lijsten!$H$1:$I$100,2,0),"")</f>
        <v/>
      </c>
      <c r="N318" s="89" t="str" cm="1">
        <f t="array" ref="N318">IFERROR(_xlfn.IFS(AND(LEFT(F318,6)="Arbeid",RIGHT(F318,3)&lt;&gt;"IKS"),IFERROR(VLOOKUP($G318,Tb_KostenTypen[],2,0),"tarief"),RIGHT(F318,3)="IKS","Uurtarief",LEFT(F318,6)="Arbeid","Uurtarief",AND(LEFT(F318,8)="Bijdrage",RIGHT(F318,15)="(vrijwilligers)"),"Vast tarief"),"")</f>
        <v/>
      </c>
      <c r="O318" s="90"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0"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1"/>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59"/>
      <c r="Z318" s="49"/>
      <c r="AA318" s="37" t="str" cm="1">
        <f t="array" ref="AA318">IFERROR(IF(INDEX(SubsidieTabel!$Q$1:$T$9,MATCH($F318,SubsidieTabel!$Q$1:$Q$9,0),IFERROR(MATCH(Methode_Keuze,SubsidieTabel!$Q$1:$T$1,0),2))&lt;&gt;1=TRUE,"ja",""),"")</f>
        <v/>
      </c>
    </row>
    <row r="319" spans="1:27" ht="15" customHeight="1" x14ac:dyDescent="0.25">
      <c r="A319" s="85"/>
      <c r="B319" s="217" t="str">
        <f>IF(A319&lt;&gt;"",_xlfn.MAXIFS($B$1:B318,$A$1:A318,A319)+1,"")</f>
        <v/>
      </c>
      <c r="C319" s="50"/>
      <c r="D319" s="50"/>
      <c r="E319" s="50"/>
      <c r="F319" s="50"/>
      <c r="G319" s="280"/>
      <c r="H319" s="293"/>
      <c r="I319" s="292"/>
      <c r="J319" s="292"/>
      <c r="K319" s="200"/>
      <c r="L319" s="200"/>
      <c r="M319" s="89" t="str">
        <f>IFERROR(VLOOKUP(H319,Lijsten!$H$1:$I$100,2,0),"")</f>
        <v/>
      </c>
      <c r="N319" s="89" t="str" cm="1">
        <f t="array" ref="N319">IFERROR(_xlfn.IFS(AND(LEFT(F319,6)="Arbeid",RIGHT(F319,3)&lt;&gt;"IKS"),IFERROR(VLOOKUP($G319,Tb_KostenTypen[],2,0),"tarief"),RIGHT(F319,3)="IKS","Uurtarief",LEFT(F319,6)="Arbeid","Uurtarief",AND(LEFT(F319,8)="Bijdrage",RIGHT(F319,15)="(vrijwilligers)"),"Vast tarief"),"")</f>
        <v/>
      </c>
      <c r="O319" s="90"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0"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1"/>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59"/>
      <c r="Z319" s="49"/>
      <c r="AA319" s="37" t="str" cm="1">
        <f t="array" ref="AA319">IFERROR(IF(INDEX(SubsidieTabel!$Q$1:$T$9,MATCH($F319,SubsidieTabel!$Q$1:$Q$9,0),IFERROR(MATCH(Methode_Keuze,SubsidieTabel!$Q$1:$T$1,0),2))&lt;&gt;1=TRUE,"ja",""),"")</f>
        <v/>
      </c>
    </row>
    <row r="320" spans="1:27" ht="15" customHeight="1" x14ac:dyDescent="0.25">
      <c r="A320" s="85"/>
      <c r="B320" s="217" t="str">
        <f>IF(A320&lt;&gt;"",_xlfn.MAXIFS($B$1:B319,$A$1:A319,A320)+1,"")</f>
        <v/>
      </c>
      <c r="C320" s="50"/>
      <c r="D320" s="50"/>
      <c r="E320" s="50"/>
      <c r="F320" s="50"/>
      <c r="G320" s="280"/>
      <c r="H320" s="293"/>
      <c r="I320" s="292"/>
      <c r="J320" s="292"/>
      <c r="K320" s="200"/>
      <c r="L320" s="200"/>
      <c r="M320" s="89" t="str">
        <f>IFERROR(VLOOKUP(H320,Lijsten!$H$1:$I$100,2,0),"")</f>
        <v/>
      </c>
      <c r="N320" s="89" t="str" cm="1">
        <f t="array" ref="N320">IFERROR(_xlfn.IFS(AND(LEFT(F320,6)="Arbeid",RIGHT(F320,3)&lt;&gt;"IKS"),IFERROR(VLOOKUP($G320,Tb_KostenTypen[],2,0),"tarief"),RIGHT(F320,3)="IKS","Uurtarief",LEFT(F320,6)="Arbeid","Uurtarief",AND(LEFT(F320,8)="Bijdrage",RIGHT(F320,15)="(vrijwilligers)"),"Vast tarief"),"")</f>
        <v/>
      </c>
      <c r="O320" s="90"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0"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1"/>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59"/>
      <c r="Z320" s="49"/>
      <c r="AA320" s="37" t="str" cm="1">
        <f t="array" ref="AA320">IFERROR(IF(INDEX(SubsidieTabel!$Q$1:$T$9,MATCH($F320,SubsidieTabel!$Q$1:$Q$9,0),IFERROR(MATCH(Methode_Keuze,SubsidieTabel!$Q$1:$T$1,0),2))&lt;&gt;1=TRUE,"ja",""),"")</f>
        <v/>
      </c>
    </row>
    <row r="321" spans="1:27" ht="15" customHeight="1" x14ac:dyDescent="0.25">
      <c r="A321" s="85"/>
      <c r="B321" s="217" t="str">
        <f>IF(A321&lt;&gt;"",_xlfn.MAXIFS($B$1:B320,$A$1:A320,A321)+1,"")</f>
        <v/>
      </c>
      <c r="C321" s="50"/>
      <c r="D321" s="50"/>
      <c r="E321" s="50"/>
      <c r="F321" s="50"/>
      <c r="G321" s="280"/>
      <c r="H321" s="293"/>
      <c r="I321" s="292"/>
      <c r="J321" s="292"/>
      <c r="K321" s="200"/>
      <c r="L321" s="200"/>
      <c r="M321" s="89" t="str">
        <f>IFERROR(VLOOKUP(H321,Lijsten!$H$1:$I$100,2,0),"")</f>
        <v/>
      </c>
      <c r="N321" s="89" t="str" cm="1">
        <f t="array" ref="N321">IFERROR(_xlfn.IFS(AND(LEFT(F321,6)="Arbeid",RIGHT(F321,3)&lt;&gt;"IKS"),IFERROR(VLOOKUP($G321,Tb_KostenTypen[],2,0),"tarief"),RIGHT(F321,3)="IKS","Uurtarief",LEFT(F321,6)="Arbeid","Uurtarief",AND(LEFT(F321,8)="Bijdrage",RIGHT(F321,15)="(vrijwilligers)"),"Vast tarief"),"")</f>
        <v/>
      </c>
      <c r="O321" s="90"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0"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1"/>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59"/>
      <c r="Z321" s="49"/>
      <c r="AA321" s="37" t="str" cm="1">
        <f t="array" ref="AA321">IFERROR(IF(INDEX(SubsidieTabel!$Q$1:$T$9,MATCH($F321,SubsidieTabel!$Q$1:$Q$9,0),IFERROR(MATCH(Methode_Keuze,SubsidieTabel!$Q$1:$T$1,0),2))&lt;&gt;1=TRUE,"ja",""),"")</f>
        <v/>
      </c>
    </row>
    <row r="322" spans="1:27" ht="15" customHeight="1" x14ac:dyDescent="0.25">
      <c r="A322" s="85"/>
      <c r="B322" s="217" t="str">
        <f>IF(A322&lt;&gt;"",_xlfn.MAXIFS($B$1:B321,$A$1:A321,A322)+1,"")</f>
        <v/>
      </c>
      <c r="C322" s="50"/>
      <c r="D322" s="50"/>
      <c r="E322" s="50"/>
      <c r="F322" s="50"/>
      <c r="G322" s="280"/>
      <c r="H322" s="293"/>
      <c r="I322" s="292"/>
      <c r="J322" s="292"/>
      <c r="K322" s="200"/>
      <c r="L322" s="200"/>
      <c r="M322" s="89" t="str">
        <f>IFERROR(VLOOKUP(H322,Lijsten!$H$1:$I$100,2,0),"")</f>
        <v/>
      </c>
      <c r="N322" s="89" t="str" cm="1">
        <f t="array" ref="N322">IFERROR(_xlfn.IFS(AND(LEFT(F322,6)="Arbeid",RIGHT(F322,3)&lt;&gt;"IKS"),IFERROR(VLOOKUP($G322,Tb_KostenTypen[],2,0),"tarief"),RIGHT(F322,3)="IKS","Uurtarief",LEFT(F322,6)="Arbeid","Uurtarief",AND(LEFT(F322,8)="Bijdrage",RIGHT(F322,15)="(vrijwilligers)"),"Vast tarief"),"")</f>
        <v/>
      </c>
      <c r="O322" s="90"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0"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1"/>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59"/>
      <c r="Z322" s="49"/>
      <c r="AA322" s="37" t="str" cm="1">
        <f t="array" ref="AA322">IFERROR(IF(INDEX(SubsidieTabel!$Q$1:$T$9,MATCH($F322,SubsidieTabel!$Q$1:$Q$9,0),IFERROR(MATCH(Methode_Keuze,SubsidieTabel!$Q$1:$T$1,0),2))&lt;&gt;1=TRUE,"ja",""),"")</f>
        <v/>
      </c>
    </row>
    <row r="323" spans="1:27" ht="15" customHeight="1" x14ac:dyDescent="0.25">
      <c r="A323" s="85"/>
      <c r="B323" s="217" t="str">
        <f>IF(A323&lt;&gt;"",_xlfn.MAXIFS($B$1:B322,$A$1:A322,A323)+1,"")</f>
        <v/>
      </c>
      <c r="C323" s="50"/>
      <c r="D323" s="50"/>
      <c r="E323" s="50"/>
      <c r="F323" s="50"/>
      <c r="G323" s="280"/>
      <c r="H323" s="293"/>
      <c r="I323" s="292"/>
      <c r="J323" s="292"/>
      <c r="K323" s="200"/>
      <c r="L323" s="200"/>
      <c r="M323" s="89" t="str">
        <f>IFERROR(VLOOKUP(H323,Lijsten!$H$1:$I$100,2,0),"")</f>
        <v/>
      </c>
      <c r="N323" s="89" t="str" cm="1">
        <f t="array" ref="N323">IFERROR(_xlfn.IFS(AND(LEFT(F323,6)="Arbeid",RIGHT(F323,3)&lt;&gt;"IKS"),IFERROR(VLOOKUP($G323,Tb_KostenTypen[],2,0),"tarief"),RIGHT(F323,3)="IKS","Uurtarief",LEFT(F323,6)="Arbeid","Uurtarief",AND(LEFT(F323,8)="Bijdrage",RIGHT(F323,15)="(vrijwilligers)"),"Vast tarief"),"")</f>
        <v/>
      </c>
      <c r="O323" s="90"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0"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1"/>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59"/>
      <c r="Z323" s="49"/>
      <c r="AA323" s="37" t="str" cm="1">
        <f t="array" ref="AA323">IFERROR(IF(INDEX(SubsidieTabel!$Q$1:$T$9,MATCH($F323,SubsidieTabel!$Q$1:$Q$9,0),IFERROR(MATCH(Methode_Keuze,SubsidieTabel!$Q$1:$T$1,0),2))&lt;&gt;1=TRUE,"ja",""),"")</f>
        <v/>
      </c>
    </row>
    <row r="324" spans="1:27" ht="15" customHeight="1" x14ac:dyDescent="0.25">
      <c r="A324" s="85"/>
      <c r="B324" s="217" t="str">
        <f>IF(A324&lt;&gt;"",_xlfn.MAXIFS($B$1:B323,$A$1:A323,A324)+1,"")</f>
        <v/>
      </c>
      <c r="C324" s="50"/>
      <c r="D324" s="50"/>
      <c r="E324" s="50"/>
      <c r="F324" s="50"/>
      <c r="G324" s="280"/>
      <c r="H324" s="293"/>
      <c r="I324" s="292"/>
      <c r="J324" s="292"/>
      <c r="K324" s="200"/>
      <c r="L324" s="200"/>
      <c r="M324" s="89" t="str">
        <f>IFERROR(VLOOKUP(H324,Lijsten!$H$1:$I$100,2,0),"")</f>
        <v/>
      </c>
      <c r="N324" s="89" t="str" cm="1">
        <f t="array" ref="N324">IFERROR(_xlfn.IFS(AND(LEFT(F324,6)="Arbeid",RIGHT(F324,3)&lt;&gt;"IKS"),IFERROR(VLOOKUP($G324,Tb_KostenTypen[],2,0),"tarief"),RIGHT(F324,3)="IKS","Uurtarief",LEFT(F324,6)="Arbeid","Uurtarief",AND(LEFT(F324,8)="Bijdrage",RIGHT(F324,15)="(vrijwilligers)"),"Vast tarief"),"")</f>
        <v/>
      </c>
      <c r="O324" s="90"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0"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1"/>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59"/>
      <c r="Z324" s="49"/>
      <c r="AA324" s="37" t="str" cm="1">
        <f t="array" ref="AA324">IFERROR(IF(INDEX(SubsidieTabel!$Q$1:$T$9,MATCH($F324,SubsidieTabel!$Q$1:$Q$9,0),IFERROR(MATCH(Methode_Keuze,SubsidieTabel!$Q$1:$T$1,0),2))&lt;&gt;1=TRUE,"ja",""),"")</f>
        <v/>
      </c>
    </row>
    <row r="325" spans="1:27" ht="15" customHeight="1" x14ac:dyDescent="0.25">
      <c r="A325" s="85"/>
      <c r="B325" s="217" t="str">
        <f>IF(A325&lt;&gt;"",_xlfn.MAXIFS($B$1:B324,$A$1:A324,A325)+1,"")</f>
        <v/>
      </c>
      <c r="C325" s="50"/>
      <c r="D325" s="50"/>
      <c r="E325" s="50"/>
      <c r="F325" s="50"/>
      <c r="G325" s="280"/>
      <c r="H325" s="293"/>
      <c r="I325" s="292"/>
      <c r="J325" s="292"/>
      <c r="K325" s="200"/>
      <c r="L325" s="200"/>
      <c r="M325" s="89" t="str">
        <f>IFERROR(VLOOKUP(H325,Lijsten!$H$1:$I$100,2,0),"")</f>
        <v/>
      </c>
      <c r="N325" s="89" t="str" cm="1">
        <f t="array" ref="N325">IFERROR(_xlfn.IFS(AND(LEFT(F325,6)="Arbeid",RIGHT(F325,3)&lt;&gt;"IKS"),IFERROR(VLOOKUP($G325,Tb_KostenTypen[],2,0),"tarief"),RIGHT(F325,3)="IKS","Uurtarief",LEFT(F325,6)="Arbeid","Uurtarief",AND(LEFT(F325,8)="Bijdrage",RIGHT(F325,15)="(vrijwilligers)"),"Vast tarief"),"")</f>
        <v/>
      </c>
      <c r="O325" s="90"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0"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1"/>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59"/>
      <c r="Z325" s="49"/>
      <c r="AA325" s="37" t="str" cm="1">
        <f t="array" ref="AA325">IFERROR(IF(INDEX(SubsidieTabel!$Q$1:$T$9,MATCH($F325,SubsidieTabel!$Q$1:$Q$9,0),IFERROR(MATCH(Methode_Keuze,SubsidieTabel!$Q$1:$T$1,0),2))&lt;&gt;1=TRUE,"ja",""),"")</f>
        <v/>
      </c>
    </row>
    <row r="326" spans="1:27" ht="15" customHeight="1" x14ac:dyDescent="0.25">
      <c r="A326" s="85"/>
      <c r="B326" s="217" t="str">
        <f>IF(A326&lt;&gt;"",_xlfn.MAXIFS($B$1:B325,$A$1:A325,A326)+1,"")</f>
        <v/>
      </c>
      <c r="C326" s="50"/>
      <c r="D326" s="50"/>
      <c r="E326" s="50"/>
      <c r="F326" s="50"/>
      <c r="G326" s="280"/>
      <c r="H326" s="293"/>
      <c r="I326" s="292"/>
      <c r="J326" s="292"/>
      <c r="K326" s="200"/>
      <c r="L326" s="200"/>
      <c r="M326" s="89" t="str">
        <f>IFERROR(VLOOKUP(H326,Lijsten!$H$1:$I$100,2,0),"")</f>
        <v/>
      </c>
      <c r="N326" s="89" t="str" cm="1">
        <f t="array" ref="N326">IFERROR(_xlfn.IFS(AND(LEFT(F326,6)="Arbeid",RIGHT(F326,3)&lt;&gt;"IKS"),IFERROR(VLOOKUP($G326,Tb_KostenTypen[],2,0),"tarief"),RIGHT(F326,3)="IKS","Uurtarief",LEFT(F326,6)="Arbeid","Uurtarief",AND(LEFT(F326,8)="Bijdrage",RIGHT(F326,15)="(vrijwilligers)"),"Vast tarief"),"")</f>
        <v/>
      </c>
      <c r="O326" s="90"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0"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1"/>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59"/>
      <c r="Z326" s="49"/>
      <c r="AA326" s="37" t="str" cm="1">
        <f t="array" ref="AA326">IFERROR(IF(INDEX(SubsidieTabel!$Q$1:$T$9,MATCH($F326,SubsidieTabel!$Q$1:$Q$9,0),IFERROR(MATCH(Methode_Keuze,SubsidieTabel!$Q$1:$T$1,0),2))&lt;&gt;1=TRUE,"ja",""),"")</f>
        <v/>
      </c>
    </row>
    <row r="327" spans="1:27" ht="15" customHeight="1" x14ac:dyDescent="0.25">
      <c r="A327" s="85"/>
      <c r="B327" s="217" t="str">
        <f>IF(A327&lt;&gt;"",_xlfn.MAXIFS($B$1:B326,$A$1:A326,A327)+1,"")</f>
        <v/>
      </c>
      <c r="C327" s="50"/>
      <c r="D327" s="50"/>
      <c r="E327" s="50"/>
      <c r="F327" s="50"/>
      <c r="G327" s="280"/>
      <c r="H327" s="293"/>
      <c r="I327" s="292"/>
      <c r="J327" s="292"/>
      <c r="K327" s="200"/>
      <c r="L327" s="200"/>
      <c r="M327" s="89" t="str">
        <f>IFERROR(VLOOKUP(H327,Lijsten!$H$1:$I$100,2,0),"")</f>
        <v/>
      </c>
      <c r="N327" s="89" t="str" cm="1">
        <f t="array" ref="N327">IFERROR(_xlfn.IFS(AND(LEFT(F327,6)="Arbeid",RIGHT(F327,3)&lt;&gt;"IKS"),IFERROR(VLOOKUP($G327,Tb_KostenTypen[],2,0),"tarief"),RIGHT(F327,3)="IKS","Uurtarief",LEFT(F327,6)="Arbeid","Uurtarief",AND(LEFT(F327,8)="Bijdrage",RIGHT(F327,15)="(vrijwilligers)"),"Vast tarief"),"")</f>
        <v/>
      </c>
      <c r="O327" s="90"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0"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1"/>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59"/>
      <c r="Z327" s="49"/>
      <c r="AA327" s="37" t="str" cm="1">
        <f t="array" ref="AA327">IFERROR(IF(INDEX(SubsidieTabel!$Q$1:$T$9,MATCH($F327,SubsidieTabel!$Q$1:$Q$9,0),IFERROR(MATCH(Methode_Keuze,SubsidieTabel!$Q$1:$T$1,0),2))&lt;&gt;1=TRUE,"ja",""),"")</f>
        <v/>
      </c>
    </row>
    <row r="328" spans="1:27" ht="15" customHeight="1" x14ac:dyDescent="0.25">
      <c r="A328" s="85"/>
      <c r="B328" s="217" t="str">
        <f>IF(A328&lt;&gt;"",_xlfn.MAXIFS($B$1:B327,$A$1:A327,A328)+1,"")</f>
        <v/>
      </c>
      <c r="C328" s="50"/>
      <c r="D328" s="50"/>
      <c r="E328" s="50"/>
      <c r="F328" s="50"/>
      <c r="G328" s="280"/>
      <c r="H328" s="293"/>
      <c r="I328" s="292"/>
      <c r="J328" s="292"/>
      <c r="K328" s="200"/>
      <c r="L328" s="200"/>
      <c r="M328" s="89" t="str">
        <f>IFERROR(VLOOKUP(H328,Lijsten!$H$1:$I$100,2,0),"")</f>
        <v/>
      </c>
      <c r="N328" s="89" t="str" cm="1">
        <f t="array" ref="N328">IFERROR(_xlfn.IFS(AND(LEFT(F328,6)="Arbeid",RIGHT(F328,3)&lt;&gt;"IKS"),IFERROR(VLOOKUP($G328,Tb_KostenTypen[],2,0),"tarief"),RIGHT(F328,3)="IKS","Uurtarief",LEFT(F328,6)="Arbeid","Uurtarief",AND(LEFT(F328,8)="Bijdrage",RIGHT(F328,15)="(vrijwilligers)"),"Vast tarief"),"")</f>
        <v/>
      </c>
      <c r="O328" s="90"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0"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1"/>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59"/>
      <c r="Z328" s="49"/>
      <c r="AA328" s="37" t="str" cm="1">
        <f t="array" ref="AA328">IFERROR(IF(INDEX(SubsidieTabel!$Q$1:$T$9,MATCH($F328,SubsidieTabel!$Q$1:$Q$9,0),IFERROR(MATCH(Methode_Keuze,SubsidieTabel!$Q$1:$T$1,0),2))&lt;&gt;1=TRUE,"ja",""),"")</f>
        <v/>
      </c>
    </row>
    <row r="329" spans="1:27" ht="15" customHeight="1" x14ac:dyDescent="0.25">
      <c r="A329" s="85"/>
      <c r="B329" s="217" t="str">
        <f>IF(A329&lt;&gt;"",_xlfn.MAXIFS($B$1:B328,$A$1:A328,A329)+1,"")</f>
        <v/>
      </c>
      <c r="C329" s="50"/>
      <c r="D329" s="50"/>
      <c r="E329" s="50"/>
      <c r="F329" s="50"/>
      <c r="G329" s="280"/>
      <c r="H329" s="293"/>
      <c r="I329" s="292"/>
      <c r="J329" s="292"/>
      <c r="K329" s="200"/>
      <c r="L329" s="200"/>
      <c r="M329" s="89" t="str">
        <f>IFERROR(VLOOKUP(H329,Lijsten!$H$1:$I$100,2,0),"")</f>
        <v/>
      </c>
      <c r="N329" s="89" t="str" cm="1">
        <f t="array" ref="N329">IFERROR(_xlfn.IFS(AND(LEFT(F329,6)="Arbeid",RIGHT(F329,3)&lt;&gt;"IKS"),IFERROR(VLOOKUP($G329,Tb_KostenTypen[],2,0),"tarief"),RIGHT(F329,3)="IKS","Uurtarief",LEFT(F329,6)="Arbeid","Uurtarief",AND(LEFT(F329,8)="Bijdrage",RIGHT(F329,15)="(vrijwilligers)"),"Vast tarief"),"")</f>
        <v/>
      </c>
      <c r="O329" s="90"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0"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1"/>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59"/>
      <c r="Z329" s="49"/>
      <c r="AA329" s="37" t="str" cm="1">
        <f t="array" ref="AA329">IFERROR(IF(INDEX(SubsidieTabel!$Q$1:$T$9,MATCH($F329,SubsidieTabel!$Q$1:$Q$9,0),IFERROR(MATCH(Methode_Keuze,SubsidieTabel!$Q$1:$T$1,0),2))&lt;&gt;1=TRUE,"ja",""),"")</f>
        <v/>
      </c>
    </row>
    <row r="330" spans="1:27" ht="15" customHeight="1" x14ac:dyDescent="0.25">
      <c r="A330" s="85"/>
      <c r="B330" s="217" t="str">
        <f>IF(A330&lt;&gt;"",_xlfn.MAXIFS($B$1:B329,$A$1:A329,A330)+1,"")</f>
        <v/>
      </c>
      <c r="C330" s="50"/>
      <c r="D330" s="50"/>
      <c r="E330" s="50"/>
      <c r="F330" s="50"/>
      <c r="G330" s="280"/>
      <c r="H330" s="293"/>
      <c r="I330" s="292"/>
      <c r="J330" s="292"/>
      <c r="K330" s="200"/>
      <c r="L330" s="200"/>
      <c r="M330" s="89" t="str">
        <f>IFERROR(VLOOKUP(H330,Lijsten!$H$1:$I$100,2,0),"")</f>
        <v/>
      </c>
      <c r="N330" s="89" t="str" cm="1">
        <f t="array" ref="N330">IFERROR(_xlfn.IFS(AND(LEFT(F330,6)="Arbeid",RIGHT(F330,3)&lt;&gt;"IKS"),IFERROR(VLOOKUP($G330,Tb_KostenTypen[],2,0),"tarief"),RIGHT(F330,3)="IKS","Uurtarief",LEFT(F330,6)="Arbeid","Uurtarief",AND(LEFT(F330,8)="Bijdrage",RIGHT(F330,15)="(vrijwilligers)"),"Vast tarief"),"")</f>
        <v/>
      </c>
      <c r="O330" s="90"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0"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1"/>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59"/>
      <c r="Z330" s="49"/>
      <c r="AA330" s="37" t="str" cm="1">
        <f t="array" ref="AA330">IFERROR(IF(INDEX(SubsidieTabel!$Q$1:$T$9,MATCH($F330,SubsidieTabel!$Q$1:$Q$9,0),IFERROR(MATCH(Methode_Keuze,SubsidieTabel!$Q$1:$T$1,0),2))&lt;&gt;1=TRUE,"ja",""),"")</f>
        <v/>
      </c>
    </row>
    <row r="331" spans="1:27" ht="15" customHeight="1" x14ac:dyDescent="0.25">
      <c r="A331" s="85"/>
      <c r="B331" s="217" t="str">
        <f>IF(A331&lt;&gt;"",_xlfn.MAXIFS($B$1:B330,$A$1:A330,A331)+1,"")</f>
        <v/>
      </c>
      <c r="C331" s="50"/>
      <c r="D331" s="50"/>
      <c r="E331" s="50"/>
      <c r="F331" s="50"/>
      <c r="G331" s="280"/>
      <c r="H331" s="293"/>
      <c r="I331" s="292"/>
      <c r="J331" s="292"/>
      <c r="K331" s="200"/>
      <c r="L331" s="200"/>
      <c r="M331" s="89" t="str">
        <f>IFERROR(VLOOKUP(H331,Lijsten!$H$1:$I$100,2,0),"")</f>
        <v/>
      </c>
      <c r="N331" s="89" t="str" cm="1">
        <f t="array" ref="N331">IFERROR(_xlfn.IFS(AND(LEFT(F331,6)="Arbeid",RIGHT(F331,3)&lt;&gt;"IKS"),IFERROR(VLOOKUP($G331,Tb_KostenTypen[],2,0),"tarief"),RIGHT(F331,3)="IKS","Uurtarief",LEFT(F331,6)="Arbeid","Uurtarief",AND(LEFT(F331,8)="Bijdrage",RIGHT(F331,15)="(vrijwilligers)"),"Vast tarief"),"")</f>
        <v/>
      </c>
      <c r="O331" s="90"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0"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1"/>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59"/>
      <c r="Z331" s="49"/>
      <c r="AA331" s="37" t="str" cm="1">
        <f t="array" ref="AA331">IFERROR(IF(INDEX(SubsidieTabel!$Q$1:$T$9,MATCH($F331,SubsidieTabel!$Q$1:$Q$9,0),IFERROR(MATCH(Methode_Keuze,SubsidieTabel!$Q$1:$T$1,0),2))&lt;&gt;1=TRUE,"ja",""),"")</f>
        <v/>
      </c>
    </row>
    <row r="332" spans="1:27" ht="15" customHeight="1" x14ac:dyDescent="0.25">
      <c r="A332" s="85"/>
      <c r="B332" s="217" t="str">
        <f>IF(A332&lt;&gt;"",_xlfn.MAXIFS($B$1:B331,$A$1:A331,A332)+1,"")</f>
        <v/>
      </c>
      <c r="C332" s="50"/>
      <c r="D332" s="50"/>
      <c r="E332" s="50"/>
      <c r="F332" s="50"/>
      <c r="G332" s="280"/>
      <c r="H332" s="293"/>
      <c r="I332" s="292"/>
      <c r="J332" s="292"/>
      <c r="K332" s="200"/>
      <c r="L332" s="200"/>
      <c r="M332" s="89" t="str">
        <f>IFERROR(VLOOKUP(H332,Lijsten!$H$1:$I$100,2,0),"")</f>
        <v/>
      </c>
      <c r="N332" s="89" t="str" cm="1">
        <f t="array" ref="N332">IFERROR(_xlfn.IFS(AND(LEFT(F332,6)="Arbeid",RIGHT(F332,3)&lt;&gt;"IKS"),IFERROR(VLOOKUP($G332,Tb_KostenTypen[],2,0),"tarief"),RIGHT(F332,3)="IKS","Uurtarief",LEFT(F332,6)="Arbeid","Uurtarief",AND(LEFT(F332,8)="Bijdrage",RIGHT(F332,15)="(vrijwilligers)"),"Vast tarief"),"")</f>
        <v/>
      </c>
      <c r="O332" s="90"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0"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1"/>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59"/>
      <c r="Z332" s="49"/>
      <c r="AA332" s="37" t="str" cm="1">
        <f t="array" ref="AA332">IFERROR(IF(INDEX(SubsidieTabel!$Q$1:$T$9,MATCH($F332,SubsidieTabel!$Q$1:$Q$9,0),IFERROR(MATCH(Methode_Keuze,SubsidieTabel!$Q$1:$T$1,0),2))&lt;&gt;1=TRUE,"ja",""),"")</f>
        <v/>
      </c>
    </row>
    <row r="333" spans="1:27" ht="15" customHeight="1" x14ac:dyDescent="0.25">
      <c r="A333" s="85"/>
      <c r="B333" s="217" t="str">
        <f>IF(A333&lt;&gt;"",_xlfn.MAXIFS($B$1:B332,$A$1:A332,A333)+1,"")</f>
        <v/>
      </c>
      <c r="C333" s="50"/>
      <c r="D333" s="50"/>
      <c r="E333" s="50"/>
      <c r="F333" s="50"/>
      <c r="G333" s="280"/>
      <c r="H333" s="293"/>
      <c r="I333" s="292"/>
      <c r="J333" s="292"/>
      <c r="K333" s="200"/>
      <c r="L333" s="200"/>
      <c r="M333" s="89" t="str">
        <f>IFERROR(VLOOKUP(H333,Lijsten!$H$1:$I$100,2,0),"")</f>
        <v/>
      </c>
      <c r="N333" s="89" t="str" cm="1">
        <f t="array" ref="N333">IFERROR(_xlfn.IFS(AND(LEFT(F333,6)="Arbeid",RIGHT(F333,3)&lt;&gt;"IKS"),IFERROR(VLOOKUP($G333,Tb_KostenTypen[],2,0),"tarief"),RIGHT(F333,3)="IKS","Uurtarief",LEFT(F333,6)="Arbeid","Uurtarief",AND(LEFT(F333,8)="Bijdrage",RIGHT(F333,15)="(vrijwilligers)"),"Vast tarief"),"")</f>
        <v/>
      </c>
      <c r="O333" s="90"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0"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1"/>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59"/>
      <c r="Z333" s="49"/>
      <c r="AA333" s="37" t="str" cm="1">
        <f t="array" ref="AA333">IFERROR(IF(INDEX(SubsidieTabel!$Q$1:$T$9,MATCH($F333,SubsidieTabel!$Q$1:$Q$9,0),IFERROR(MATCH(Methode_Keuze,SubsidieTabel!$Q$1:$T$1,0),2))&lt;&gt;1=TRUE,"ja",""),"")</f>
        <v/>
      </c>
    </row>
    <row r="334" spans="1:27" ht="15" customHeight="1" x14ac:dyDescent="0.25">
      <c r="A334" s="85"/>
      <c r="B334" s="217" t="str">
        <f>IF(A334&lt;&gt;"",_xlfn.MAXIFS($B$1:B333,$A$1:A333,A334)+1,"")</f>
        <v/>
      </c>
      <c r="C334" s="50"/>
      <c r="D334" s="50"/>
      <c r="E334" s="50"/>
      <c r="F334" s="50"/>
      <c r="G334" s="280"/>
      <c r="H334" s="293"/>
      <c r="I334" s="292"/>
      <c r="J334" s="292"/>
      <c r="K334" s="200"/>
      <c r="L334" s="200"/>
      <c r="M334" s="89" t="str">
        <f>IFERROR(VLOOKUP(H334,Lijsten!$H$1:$I$100,2,0),"")</f>
        <v/>
      </c>
      <c r="N334" s="89" t="str" cm="1">
        <f t="array" ref="N334">IFERROR(_xlfn.IFS(AND(LEFT(F334,6)="Arbeid",RIGHT(F334,3)&lt;&gt;"IKS"),IFERROR(VLOOKUP($G334,Tb_KostenTypen[],2,0),"tarief"),RIGHT(F334,3)="IKS","Uurtarief",LEFT(F334,6)="Arbeid","Uurtarief",AND(LEFT(F334,8)="Bijdrage",RIGHT(F334,15)="(vrijwilligers)"),"Vast tarief"),"")</f>
        <v/>
      </c>
      <c r="O334" s="90"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0"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1"/>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59"/>
      <c r="Z334" s="49"/>
      <c r="AA334" s="37" t="str" cm="1">
        <f t="array" ref="AA334">IFERROR(IF(INDEX(SubsidieTabel!$Q$1:$T$9,MATCH($F334,SubsidieTabel!$Q$1:$Q$9,0),IFERROR(MATCH(Methode_Keuze,SubsidieTabel!$Q$1:$T$1,0),2))&lt;&gt;1=TRUE,"ja",""),"")</f>
        <v/>
      </c>
    </row>
    <row r="335" spans="1:27" ht="15" customHeight="1" x14ac:dyDescent="0.25">
      <c r="A335" s="85"/>
      <c r="B335" s="217" t="str">
        <f>IF(A335&lt;&gt;"",_xlfn.MAXIFS($B$1:B334,$A$1:A334,A335)+1,"")</f>
        <v/>
      </c>
      <c r="C335" s="50"/>
      <c r="D335" s="50"/>
      <c r="E335" s="50"/>
      <c r="F335" s="50"/>
      <c r="G335" s="280"/>
      <c r="H335" s="293"/>
      <c r="I335" s="292"/>
      <c r="J335" s="292"/>
      <c r="K335" s="200"/>
      <c r="L335" s="200"/>
      <c r="M335" s="89" t="str">
        <f>IFERROR(VLOOKUP(H335,Lijsten!$H$1:$I$100,2,0),"")</f>
        <v/>
      </c>
      <c r="N335" s="89" t="str" cm="1">
        <f t="array" ref="N335">IFERROR(_xlfn.IFS(AND(LEFT(F335,6)="Arbeid",RIGHT(F335,3)&lt;&gt;"IKS"),IFERROR(VLOOKUP($G335,Tb_KostenTypen[],2,0),"tarief"),RIGHT(F335,3)="IKS","Uurtarief",LEFT(F335,6)="Arbeid","Uurtarief",AND(LEFT(F335,8)="Bijdrage",RIGHT(F335,15)="(vrijwilligers)"),"Vast tarief"),"")</f>
        <v/>
      </c>
      <c r="O335" s="90"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0"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1"/>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59"/>
      <c r="Z335" s="49"/>
      <c r="AA335" s="37" t="str" cm="1">
        <f t="array" ref="AA335">IFERROR(IF(INDEX(SubsidieTabel!$Q$1:$T$9,MATCH($F335,SubsidieTabel!$Q$1:$Q$9,0),IFERROR(MATCH(Methode_Keuze,SubsidieTabel!$Q$1:$T$1,0),2))&lt;&gt;1=TRUE,"ja",""),"")</f>
        <v/>
      </c>
    </row>
    <row r="336" spans="1:27" ht="15" customHeight="1" x14ac:dyDescent="0.25">
      <c r="A336" s="85"/>
      <c r="B336" s="217" t="str">
        <f>IF(A336&lt;&gt;"",_xlfn.MAXIFS($B$1:B335,$A$1:A335,A336)+1,"")</f>
        <v/>
      </c>
      <c r="C336" s="50"/>
      <c r="D336" s="50"/>
      <c r="E336" s="50"/>
      <c r="F336" s="50"/>
      <c r="G336" s="280"/>
      <c r="H336" s="293"/>
      <c r="I336" s="292"/>
      <c r="J336" s="292"/>
      <c r="K336" s="200"/>
      <c r="L336" s="200"/>
      <c r="M336" s="89" t="str">
        <f>IFERROR(VLOOKUP(H336,Lijsten!$H$1:$I$100,2,0),"")</f>
        <v/>
      </c>
      <c r="N336" s="89" t="str" cm="1">
        <f t="array" ref="N336">IFERROR(_xlfn.IFS(AND(LEFT(F336,6)="Arbeid",RIGHT(F336,3)&lt;&gt;"IKS"),IFERROR(VLOOKUP($G336,Tb_KostenTypen[],2,0),"tarief"),RIGHT(F336,3)="IKS","Uurtarief",LEFT(F336,6)="Arbeid","Uurtarief",AND(LEFT(F336,8)="Bijdrage",RIGHT(F336,15)="(vrijwilligers)"),"Vast tarief"),"")</f>
        <v/>
      </c>
      <c r="O336" s="90"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0"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1"/>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59"/>
      <c r="Z336" s="49"/>
      <c r="AA336" s="37" t="str" cm="1">
        <f t="array" ref="AA336">IFERROR(IF(INDEX(SubsidieTabel!$Q$1:$T$9,MATCH($F336,SubsidieTabel!$Q$1:$Q$9,0),IFERROR(MATCH(Methode_Keuze,SubsidieTabel!$Q$1:$T$1,0),2))&lt;&gt;1=TRUE,"ja",""),"")</f>
        <v/>
      </c>
    </row>
    <row r="337" spans="1:27" ht="15" customHeight="1" x14ac:dyDescent="0.25">
      <c r="A337" s="85"/>
      <c r="B337" s="217" t="str">
        <f>IF(A337&lt;&gt;"",_xlfn.MAXIFS($B$1:B336,$A$1:A336,A337)+1,"")</f>
        <v/>
      </c>
      <c r="C337" s="50"/>
      <c r="D337" s="50"/>
      <c r="E337" s="50"/>
      <c r="F337" s="50"/>
      <c r="G337" s="280"/>
      <c r="H337" s="293"/>
      <c r="I337" s="292"/>
      <c r="J337" s="292"/>
      <c r="K337" s="200"/>
      <c r="L337" s="200"/>
      <c r="M337" s="89" t="str">
        <f>IFERROR(VLOOKUP(H337,Lijsten!$H$1:$I$100,2,0),"")</f>
        <v/>
      </c>
      <c r="N337" s="89" t="str" cm="1">
        <f t="array" ref="N337">IFERROR(_xlfn.IFS(AND(LEFT(F337,6)="Arbeid",RIGHT(F337,3)&lt;&gt;"IKS"),IFERROR(VLOOKUP($G337,Tb_KostenTypen[],2,0),"tarief"),RIGHT(F337,3)="IKS","Uurtarief",LEFT(F337,6)="Arbeid","Uurtarief",AND(LEFT(F337,8)="Bijdrage",RIGHT(F337,15)="(vrijwilligers)"),"Vast tarief"),"")</f>
        <v/>
      </c>
      <c r="O337" s="90"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0"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1"/>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59"/>
      <c r="Z337" s="49"/>
      <c r="AA337" s="37" t="str" cm="1">
        <f t="array" ref="AA337">IFERROR(IF(INDEX(SubsidieTabel!$Q$1:$T$9,MATCH($F337,SubsidieTabel!$Q$1:$Q$9,0),IFERROR(MATCH(Methode_Keuze,SubsidieTabel!$Q$1:$T$1,0),2))&lt;&gt;1=TRUE,"ja",""),"")</f>
        <v/>
      </c>
    </row>
    <row r="338" spans="1:27" ht="15" customHeight="1" x14ac:dyDescent="0.25">
      <c r="A338" s="85"/>
      <c r="B338" s="217" t="str">
        <f>IF(A338&lt;&gt;"",_xlfn.MAXIFS($B$1:B337,$A$1:A337,A338)+1,"")</f>
        <v/>
      </c>
      <c r="C338" s="50"/>
      <c r="D338" s="50"/>
      <c r="E338" s="50"/>
      <c r="F338" s="50"/>
      <c r="G338" s="280"/>
      <c r="H338" s="293"/>
      <c r="I338" s="292"/>
      <c r="J338" s="292"/>
      <c r="K338" s="200"/>
      <c r="L338" s="200"/>
      <c r="M338" s="89" t="str">
        <f>IFERROR(VLOOKUP(H338,Lijsten!$H$1:$I$100,2,0),"")</f>
        <v/>
      </c>
      <c r="N338" s="89" t="str" cm="1">
        <f t="array" ref="N338">IFERROR(_xlfn.IFS(AND(LEFT(F338,6)="Arbeid",RIGHT(F338,3)&lt;&gt;"IKS"),IFERROR(VLOOKUP($G338,Tb_KostenTypen[],2,0),"tarief"),RIGHT(F338,3)="IKS","Uurtarief",LEFT(F338,6)="Arbeid","Uurtarief",AND(LEFT(F338,8)="Bijdrage",RIGHT(F338,15)="(vrijwilligers)"),"Vast tarief"),"")</f>
        <v/>
      </c>
      <c r="O338" s="90"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0"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1"/>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59"/>
      <c r="Z338" s="49"/>
      <c r="AA338" s="37" t="str" cm="1">
        <f t="array" ref="AA338">IFERROR(IF(INDEX(SubsidieTabel!$Q$1:$T$9,MATCH($F338,SubsidieTabel!$Q$1:$Q$9,0),IFERROR(MATCH(Methode_Keuze,SubsidieTabel!$Q$1:$T$1,0),2))&lt;&gt;1=TRUE,"ja",""),"")</f>
        <v/>
      </c>
    </row>
    <row r="339" spans="1:27" ht="15" customHeight="1" x14ac:dyDescent="0.25">
      <c r="A339" s="85"/>
      <c r="B339" s="217" t="str">
        <f>IF(A339&lt;&gt;"",_xlfn.MAXIFS($B$1:B338,$A$1:A338,A339)+1,"")</f>
        <v/>
      </c>
      <c r="C339" s="50"/>
      <c r="D339" s="50"/>
      <c r="E339" s="50"/>
      <c r="F339" s="50"/>
      <c r="G339" s="280"/>
      <c r="H339" s="293"/>
      <c r="I339" s="292"/>
      <c r="J339" s="292"/>
      <c r="K339" s="200"/>
      <c r="L339" s="200"/>
      <c r="M339" s="89" t="str">
        <f>IFERROR(VLOOKUP(H339,Lijsten!$H$1:$I$100,2,0),"")</f>
        <v/>
      </c>
      <c r="N339" s="89" t="str" cm="1">
        <f t="array" ref="N339">IFERROR(_xlfn.IFS(AND(LEFT(F339,6)="Arbeid",RIGHT(F339,3)&lt;&gt;"IKS"),IFERROR(VLOOKUP($G339,Tb_KostenTypen[],2,0),"tarief"),RIGHT(F339,3)="IKS","Uurtarief",LEFT(F339,6)="Arbeid","Uurtarief",AND(LEFT(F339,8)="Bijdrage",RIGHT(F339,15)="(vrijwilligers)"),"Vast tarief"),"")</f>
        <v/>
      </c>
      <c r="O339" s="90"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0"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1"/>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59"/>
      <c r="Z339" s="49"/>
      <c r="AA339" s="37" t="str" cm="1">
        <f t="array" ref="AA339">IFERROR(IF(INDEX(SubsidieTabel!$Q$1:$T$9,MATCH($F339,SubsidieTabel!$Q$1:$Q$9,0),IFERROR(MATCH(Methode_Keuze,SubsidieTabel!$Q$1:$T$1,0),2))&lt;&gt;1=TRUE,"ja",""),"")</f>
        <v/>
      </c>
    </row>
    <row r="340" spans="1:27" ht="15" customHeight="1" x14ac:dyDescent="0.25">
      <c r="A340" s="85"/>
      <c r="B340" s="217" t="str">
        <f>IF(A340&lt;&gt;"",_xlfn.MAXIFS($B$1:B339,$A$1:A339,A340)+1,"")</f>
        <v/>
      </c>
      <c r="C340" s="50"/>
      <c r="D340" s="50"/>
      <c r="E340" s="50"/>
      <c r="F340" s="50"/>
      <c r="G340" s="280"/>
      <c r="H340" s="293"/>
      <c r="I340" s="292"/>
      <c r="J340" s="292"/>
      <c r="K340" s="200"/>
      <c r="L340" s="200"/>
      <c r="M340" s="89" t="str">
        <f>IFERROR(VLOOKUP(H340,Lijsten!$H$1:$I$100,2,0),"")</f>
        <v/>
      </c>
      <c r="N340" s="89" t="str" cm="1">
        <f t="array" ref="N340">IFERROR(_xlfn.IFS(AND(LEFT(F340,6)="Arbeid",RIGHT(F340,3)&lt;&gt;"IKS"),IFERROR(VLOOKUP($G340,Tb_KostenTypen[],2,0),"tarief"),RIGHT(F340,3)="IKS","Uurtarief",LEFT(F340,6)="Arbeid","Uurtarief",AND(LEFT(F340,8)="Bijdrage",RIGHT(F340,15)="(vrijwilligers)"),"Vast tarief"),"")</f>
        <v/>
      </c>
      <c r="O340" s="90"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0"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1"/>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59"/>
      <c r="Z340" s="49"/>
      <c r="AA340" s="37" t="str" cm="1">
        <f t="array" ref="AA340">IFERROR(IF(INDEX(SubsidieTabel!$Q$1:$T$9,MATCH($F340,SubsidieTabel!$Q$1:$Q$9,0),IFERROR(MATCH(Methode_Keuze,SubsidieTabel!$Q$1:$T$1,0),2))&lt;&gt;1=TRUE,"ja",""),"")</f>
        <v/>
      </c>
    </row>
    <row r="341" spans="1:27" ht="15" customHeight="1" x14ac:dyDescent="0.25">
      <c r="A341" s="85"/>
      <c r="B341" s="217" t="str">
        <f>IF(A341&lt;&gt;"",_xlfn.MAXIFS($B$1:B340,$A$1:A340,A341)+1,"")</f>
        <v/>
      </c>
      <c r="C341" s="50"/>
      <c r="D341" s="50"/>
      <c r="E341" s="50"/>
      <c r="F341" s="50"/>
      <c r="G341" s="280"/>
      <c r="H341" s="293"/>
      <c r="I341" s="292"/>
      <c r="J341" s="292"/>
      <c r="K341" s="200"/>
      <c r="L341" s="200"/>
      <c r="M341" s="89" t="str">
        <f>IFERROR(VLOOKUP(H341,Lijsten!$H$1:$I$100,2,0),"")</f>
        <v/>
      </c>
      <c r="N341" s="89" t="str" cm="1">
        <f t="array" ref="N341">IFERROR(_xlfn.IFS(AND(LEFT(F341,6)="Arbeid",RIGHT(F341,3)&lt;&gt;"IKS"),IFERROR(VLOOKUP($G341,Tb_KostenTypen[],2,0),"tarief"),RIGHT(F341,3)="IKS","Uurtarief",LEFT(F341,6)="Arbeid","Uurtarief",AND(LEFT(F341,8)="Bijdrage",RIGHT(F341,15)="(vrijwilligers)"),"Vast tarief"),"")</f>
        <v/>
      </c>
      <c r="O341" s="90"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0"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1"/>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59"/>
      <c r="Z341" s="49"/>
      <c r="AA341" s="37" t="str" cm="1">
        <f t="array" ref="AA341">IFERROR(IF(INDEX(SubsidieTabel!$Q$1:$T$9,MATCH($F341,SubsidieTabel!$Q$1:$Q$9,0),IFERROR(MATCH(Methode_Keuze,SubsidieTabel!$Q$1:$T$1,0),2))&lt;&gt;1=TRUE,"ja",""),"")</f>
        <v/>
      </c>
    </row>
    <row r="342" spans="1:27" ht="15" customHeight="1" x14ac:dyDescent="0.25">
      <c r="A342" s="85"/>
      <c r="B342" s="217" t="str">
        <f>IF(A342&lt;&gt;"",_xlfn.MAXIFS($B$1:B341,$A$1:A341,A342)+1,"")</f>
        <v/>
      </c>
      <c r="C342" s="50"/>
      <c r="D342" s="50"/>
      <c r="E342" s="50"/>
      <c r="F342" s="50"/>
      <c r="G342" s="280"/>
      <c r="H342" s="293"/>
      <c r="I342" s="292"/>
      <c r="J342" s="292"/>
      <c r="K342" s="200"/>
      <c r="L342" s="200"/>
      <c r="M342" s="89" t="str">
        <f>IFERROR(VLOOKUP(H342,Lijsten!$H$1:$I$100,2,0),"")</f>
        <v/>
      </c>
      <c r="N342" s="89" t="str" cm="1">
        <f t="array" ref="N342">IFERROR(_xlfn.IFS(AND(LEFT(F342,6)="Arbeid",RIGHT(F342,3)&lt;&gt;"IKS"),IFERROR(VLOOKUP($G342,Tb_KostenTypen[],2,0),"tarief"),RIGHT(F342,3)="IKS","Uurtarief",LEFT(F342,6)="Arbeid","Uurtarief",AND(LEFT(F342,8)="Bijdrage",RIGHT(F342,15)="(vrijwilligers)"),"Vast tarief"),"")</f>
        <v/>
      </c>
      <c r="O342" s="90"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0"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1"/>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59"/>
      <c r="Z342" s="49"/>
      <c r="AA342" s="37" t="str" cm="1">
        <f t="array" ref="AA342">IFERROR(IF(INDEX(SubsidieTabel!$Q$1:$T$9,MATCH($F342,SubsidieTabel!$Q$1:$Q$9,0),IFERROR(MATCH(Methode_Keuze,SubsidieTabel!$Q$1:$T$1,0),2))&lt;&gt;1=TRUE,"ja",""),"")</f>
        <v/>
      </c>
    </row>
    <row r="343" spans="1:27" ht="15" customHeight="1" x14ac:dyDescent="0.25">
      <c r="A343" s="85"/>
      <c r="B343" s="217" t="str">
        <f>IF(A343&lt;&gt;"",_xlfn.MAXIFS($B$1:B342,$A$1:A342,A343)+1,"")</f>
        <v/>
      </c>
      <c r="C343" s="50"/>
      <c r="D343" s="50"/>
      <c r="E343" s="50"/>
      <c r="F343" s="50"/>
      <c r="G343" s="280"/>
      <c r="H343" s="293"/>
      <c r="I343" s="292"/>
      <c r="J343" s="292"/>
      <c r="K343" s="200"/>
      <c r="L343" s="200"/>
      <c r="M343" s="89" t="str">
        <f>IFERROR(VLOOKUP(H343,Lijsten!$H$1:$I$100,2,0),"")</f>
        <v/>
      </c>
      <c r="N343" s="89" t="str" cm="1">
        <f t="array" ref="N343">IFERROR(_xlfn.IFS(AND(LEFT(F343,6)="Arbeid",RIGHT(F343,3)&lt;&gt;"IKS"),IFERROR(VLOOKUP($G343,Tb_KostenTypen[],2,0),"tarief"),RIGHT(F343,3)="IKS","Uurtarief",LEFT(F343,6)="Arbeid","Uurtarief",AND(LEFT(F343,8)="Bijdrage",RIGHT(F343,15)="(vrijwilligers)"),"Vast tarief"),"")</f>
        <v/>
      </c>
      <c r="O343" s="90"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0"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1"/>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59"/>
      <c r="Z343" s="49"/>
      <c r="AA343" s="37" t="str" cm="1">
        <f t="array" ref="AA343">IFERROR(IF(INDEX(SubsidieTabel!$Q$1:$T$9,MATCH($F343,SubsidieTabel!$Q$1:$Q$9,0),IFERROR(MATCH(Methode_Keuze,SubsidieTabel!$Q$1:$T$1,0),2))&lt;&gt;1=TRUE,"ja",""),"")</f>
        <v/>
      </c>
    </row>
    <row r="344" spans="1:27" ht="15" customHeight="1" x14ac:dyDescent="0.25">
      <c r="A344" s="85"/>
      <c r="B344" s="217" t="str">
        <f>IF(A344&lt;&gt;"",_xlfn.MAXIFS($B$1:B343,$A$1:A343,A344)+1,"")</f>
        <v/>
      </c>
      <c r="C344" s="50"/>
      <c r="D344" s="50"/>
      <c r="E344" s="50"/>
      <c r="F344" s="50"/>
      <c r="G344" s="280"/>
      <c r="H344" s="293"/>
      <c r="I344" s="292"/>
      <c r="J344" s="292"/>
      <c r="K344" s="200"/>
      <c r="L344" s="200"/>
      <c r="M344" s="89" t="str">
        <f>IFERROR(VLOOKUP(H344,Lijsten!$H$1:$I$100,2,0),"")</f>
        <v/>
      </c>
      <c r="N344" s="89" t="str" cm="1">
        <f t="array" ref="N344">IFERROR(_xlfn.IFS(AND(LEFT(F344,6)="Arbeid",RIGHT(F344,3)&lt;&gt;"IKS"),IFERROR(VLOOKUP($G344,Tb_KostenTypen[],2,0),"tarief"),RIGHT(F344,3)="IKS","Uurtarief",LEFT(F344,6)="Arbeid","Uurtarief",AND(LEFT(F344,8)="Bijdrage",RIGHT(F344,15)="(vrijwilligers)"),"Vast tarief"),"")</f>
        <v/>
      </c>
      <c r="O344" s="90"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0"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1"/>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59"/>
      <c r="Z344" s="49"/>
      <c r="AA344" s="37" t="str" cm="1">
        <f t="array" ref="AA344">IFERROR(IF(INDEX(SubsidieTabel!$Q$1:$T$9,MATCH($F344,SubsidieTabel!$Q$1:$Q$9,0),IFERROR(MATCH(Methode_Keuze,SubsidieTabel!$Q$1:$T$1,0),2))&lt;&gt;1=TRUE,"ja",""),"")</f>
        <v/>
      </c>
    </row>
    <row r="345" spans="1:27" ht="15" customHeight="1" x14ac:dyDescent="0.25">
      <c r="A345" s="85"/>
      <c r="B345" s="217" t="str">
        <f>IF(A345&lt;&gt;"",_xlfn.MAXIFS($B$1:B344,$A$1:A344,A345)+1,"")</f>
        <v/>
      </c>
      <c r="C345" s="50"/>
      <c r="D345" s="50"/>
      <c r="E345" s="50"/>
      <c r="F345" s="50"/>
      <c r="G345" s="280"/>
      <c r="H345" s="293"/>
      <c r="I345" s="292"/>
      <c r="J345" s="292"/>
      <c r="K345" s="200"/>
      <c r="L345" s="200"/>
      <c r="M345" s="89" t="str">
        <f>IFERROR(VLOOKUP(H345,Lijsten!$H$1:$I$100,2,0),"")</f>
        <v/>
      </c>
      <c r="N345" s="89" t="str" cm="1">
        <f t="array" ref="N345">IFERROR(_xlfn.IFS(AND(LEFT(F345,6)="Arbeid",RIGHT(F345,3)&lt;&gt;"IKS"),IFERROR(VLOOKUP($G345,Tb_KostenTypen[],2,0),"tarief"),RIGHT(F345,3)="IKS","Uurtarief",LEFT(F345,6)="Arbeid","Uurtarief",AND(LEFT(F345,8)="Bijdrage",RIGHT(F345,15)="(vrijwilligers)"),"Vast tarief"),"")</f>
        <v/>
      </c>
      <c r="O345" s="90"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0"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1"/>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59"/>
      <c r="Z345" s="49"/>
      <c r="AA345" s="37" t="str" cm="1">
        <f t="array" ref="AA345">IFERROR(IF(INDEX(SubsidieTabel!$Q$1:$T$9,MATCH($F345,SubsidieTabel!$Q$1:$Q$9,0),IFERROR(MATCH(Methode_Keuze,SubsidieTabel!$Q$1:$T$1,0),2))&lt;&gt;1=TRUE,"ja",""),"")</f>
        <v/>
      </c>
    </row>
    <row r="346" spans="1:27" ht="15" customHeight="1" x14ac:dyDescent="0.25">
      <c r="A346" s="85"/>
      <c r="B346" s="217" t="str">
        <f>IF(A346&lt;&gt;"",_xlfn.MAXIFS($B$1:B345,$A$1:A345,A346)+1,"")</f>
        <v/>
      </c>
      <c r="C346" s="50"/>
      <c r="D346" s="50"/>
      <c r="E346" s="50"/>
      <c r="F346" s="50"/>
      <c r="G346" s="280"/>
      <c r="H346" s="293"/>
      <c r="I346" s="292"/>
      <c r="J346" s="292"/>
      <c r="K346" s="200"/>
      <c r="L346" s="200"/>
      <c r="M346" s="89" t="str">
        <f>IFERROR(VLOOKUP(H346,Lijsten!$H$1:$I$100,2,0),"")</f>
        <v/>
      </c>
      <c r="N346" s="89" t="str" cm="1">
        <f t="array" ref="N346">IFERROR(_xlfn.IFS(AND(LEFT(F346,6)="Arbeid",RIGHT(F346,3)&lt;&gt;"IKS"),IFERROR(VLOOKUP($G346,Tb_KostenTypen[],2,0),"tarief"),RIGHT(F346,3)="IKS","Uurtarief",LEFT(F346,6)="Arbeid","Uurtarief",AND(LEFT(F346,8)="Bijdrage",RIGHT(F346,15)="(vrijwilligers)"),"Vast tarief"),"")</f>
        <v/>
      </c>
      <c r="O346" s="90"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0"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1"/>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59"/>
      <c r="Z346" s="49"/>
      <c r="AA346" s="37" t="str" cm="1">
        <f t="array" ref="AA346">IFERROR(IF(INDEX(SubsidieTabel!$Q$1:$T$9,MATCH($F346,SubsidieTabel!$Q$1:$Q$9,0),IFERROR(MATCH(Methode_Keuze,SubsidieTabel!$Q$1:$T$1,0),2))&lt;&gt;1=TRUE,"ja",""),"")</f>
        <v/>
      </c>
    </row>
    <row r="347" spans="1:27" ht="15" customHeight="1" x14ac:dyDescent="0.25">
      <c r="A347" s="85"/>
      <c r="B347" s="217" t="str">
        <f>IF(A347&lt;&gt;"",_xlfn.MAXIFS($B$1:B346,$A$1:A346,A347)+1,"")</f>
        <v/>
      </c>
      <c r="C347" s="50"/>
      <c r="D347" s="50"/>
      <c r="E347" s="50"/>
      <c r="F347" s="50"/>
      <c r="G347" s="280"/>
      <c r="H347" s="293"/>
      <c r="I347" s="292"/>
      <c r="J347" s="292"/>
      <c r="K347" s="200"/>
      <c r="L347" s="200"/>
      <c r="M347" s="89" t="str">
        <f>IFERROR(VLOOKUP(H347,Lijsten!$H$1:$I$100,2,0),"")</f>
        <v/>
      </c>
      <c r="N347" s="89" t="str" cm="1">
        <f t="array" ref="N347">IFERROR(_xlfn.IFS(AND(LEFT(F347,6)="Arbeid",RIGHT(F347,3)&lt;&gt;"IKS"),IFERROR(VLOOKUP($G347,Tb_KostenTypen[],2,0),"tarief"),RIGHT(F347,3)="IKS","Uurtarief",LEFT(F347,6)="Arbeid","Uurtarief",AND(LEFT(F347,8)="Bijdrage",RIGHT(F347,15)="(vrijwilligers)"),"Vast tarief"),"")</f>
        <v/>
      </c>
      <c r="O347" s="90"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0"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1"/>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59"/>
      <c r="Z347" s="49"/>
      <c r="AA347" s="37" t="str" cm="1">
        <f t="array" ref="AA347">IFERROR(IF(INDEX(SubsidieTabel!$Q$1:$T$9,MATCH($F347,SubsidieTabel!$Q$1:$Q$9,0),IFERROR(MATCH(Methode_Keuze,SubsidieTabel!$Q$1:$T$1,0),2))&lt;&gt;1=TRUE,"ja",""),"")</f>
        <v/>
      </c>
    </row>
    <row r="348" spans="1:27" ht="15" customHeight="1" x14ac:dyDescent="0.25">
      <c r="A348" s="85"/>
      <c r="B348" s="217" t="str">
        <f>IF(A348&lt;&gt;"",_xlfn.MAXIFS($B$1:B347,$A$1:A347,A348)+1,"")</f>
        <v/>
      </c>
      <c r="C348" s="50"/>
      <c r="D348" s="50"/>
      <c r="E348" s="50"/>
      <c r="F348" s="50"/>
      <c r="G348" s="280"/>
      <c r="H348" s="293"/>
      <c r="I348" s="292"/>
      <c r="J348" s="292"/>
      <c r="K348" s="200"/>
      <c r="L348" s="200"/>
      <c r="M348" s="89" t="str">
        <f>IFERROR(VLOOKUP(H348,Lijsten!$H$1:$I$100,2,0),"")</f>
        <v/>
      </c>
      <c r="N348" s="89" t="str" cm="1">
        <f t="array" ref="N348">IFERROR(_xlfn.IFS(AND(LEFT(F348,6)="Arbeid",RIGHT(F348,3)&lt;&gt;"IKS"),IFERROR(VLOOKUP($G348,Tb_KostenTypen[],2,0),"tarief"),RIGHT(F348,3)="IKS","Uurtarief",LEFT(F348,6)="Arbeid","Uurtarief",AND(LEFT(F348,8)="Bijdrage",RIGHT(F348,15)="(vrijwilligers)"),"Vast tarief"),"")</f>
        <v/>
      </c>
      <c r="O348" s="90"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0"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1"/>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59"/>
      <c r="Z348" s="49"/>
      <c r="AA348" s="37" t="str" cm="1">
        <f t="array" ref="AA348">IFERROR(IF(INDEX(SubsidieTabel!$Q$1:$T$9,MATCH($F348,SubsidieTabel!$Q$1:$Q$9,0),IFERROR(MATCH(Methode_Keuze,SubsidieTabel!$Q$1:$T$1,0),2))&lt;&gt;1=TRUE,"ja",""),"")</f>
        <v/>
      </c>
    </row>
    <row r="349" spans="1:27" ht="15" customHeight="1" x14ac:dyDescent="0.25">
      <c r="A349" s="85"/>
      <c r="B349" s="217" t="str">
        <f>IF(A349&lt;&gt;"",_xlfn.MAXIFS($B$1:B348,$A$1:A348,A349)+1,"")</f>
        <v/>
      </c>
      <c r="C349" s="50"/>
      <c r="D349" s="50"/>
      <c r="E349" s="50"/>
      <c r="F349" s="50"/>
      <c r="G349" s="280"/>
      <c r="H349" s="293"/>
      <c r="I349" s="292"/>
      <c r="J349" s="292"/>
      <c r="K349" s="200"/>
      <c r="L349" s="200"/>
      <c r="M349" s="89" t="str">
        <f>IFERROR(VLOOKUP(H349,Lijsten!$H$1:$I$100,2,0),"")</f>
        <v/>
      </c>
      <c r="N349" s="89" t="str" cm="1">
        <f t="array" ref="N349">IFERROR(_xlfn.IFS(AND(LEFT(F349,6)="Arbeid",RIGHT(F349,3)&lt;&gt;"IKS"),IFERROR(VLOOKUP($G349,Tb_KostenTypen[],2,0),"tarief"),RIGHT(F349,3)="IKS","Uurtarief",LEFT(F349,6)="Arbeid","Uurtarief",AND(LEFT(F349,8)="Bijdrage",RIGHT(F349,15)="(vrijwilligers)"),"Vast tarief"),"")</f>
        <v/>
      </c>
      <c r="O349" s="90"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0"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1"/>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59"/>
      <c r="Z349" s="49"/>
      <c r="AA349" s="37" t="str" cm="1">
        <f t="array" ref="AA349">IFERROR(IF(INDEX(SubsidieTabel!$Q$1:$T$9,MATCH($F349,SubsidieTabel!$Q$1:$Q$9,0),IFERROR(MATCH(Methode_Keuze,SubsidieTabel!$Q$1:$T$1,0),2))&lt;&gt;1=TRUE,"ja",""),"")</f>
        <v/>
      </c>
    </row>
    <row r="350" spans="1:27" ht="15" customHeight="1" x14ac:dyDescent="0.25">
      <c r="A350" s="85"/>
      <c r="B350" s="217" t="str">
        <f>IF(A350&lt;&gt;"",_xlfn.MAXIFS($B$1:B349,$A$1:A349,A350)+1,"")</f>
        <v/>
      </c>
      <c r="C350" s="50"/>
      <c r="D350" s="50"/>
      <c r="E350" s="50"/>
      <c r="F350" s="50"/>
      <c r="G350" s="280"/>
      <c r="H350" s="293"/>
      <c r="I350" s="292"/>
      <c r="J350" s="292"/>
      <c r="K350" s="200"/>
      <c r="L350" s="200"/>
      <c r="M350" s="89" t="str">
        <f>IFERROR(VLOOKUP(H350,Lijsten!$H$1:$I$100,2,0),"")</f>
        <v/>
      </c>
      <c r="N350" s="89" t="str" cm="1">
        <f t="array" ref="N350">IFERROR(_xlfn.IFS(AND(LEFT(F350,6)="Arbeid",RIGHT(F350,3)&lt;&gt;"IKS"),IFERROR(VLOOKUP($G350,Tb_KostenTypen[],2,0),"tarief"),RIGHT(F350,3)="IKS","Uurtarief",LEFT(F350,6)="Arbeid","Uurtarief",AND(LEFT(F350,8)="Bijdrage",RIGHT(F350,15)="(vrijwilligers)"),"Vast tarief"),"")</f>
        <v/>
      </c>
      <c r="O350" s="90"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0"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1"/>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59"/>
      <c r="Z350" s="49"/>
      <c r="AA350" s="37" t="str" cm="1">
        <f t="array" ref="AA350">IFERROR(IF(INDEX(SubsidieTabel!$Q$1:$T$9,MATCH($F350,SubsidieTabel!$Q$1:$Q$9,0),IFERROR(MATCH(Methode_Keuze,SubsidieTabel!$Q$1:$T$1,0),2))&lt;&gt;1=TRUE,"ja",""),"")</f>
        <v/>
      </c>
    </row>
    <row r="351" spans="1:27" ht="15" customHeight="1" x14ac:dyDescent="0.25">
      <c r="A351" s="85"/>
      <c r="B351" s="217" t="str">
        <f>IF(A351&lt;&gt;"",_xlfn.MAXIFS($B$1:B350,$A$1:A350,A351)+1,"")</f>
        <v/>
      </c>
      <c r="C351" s="50"/>
      <c r="D351" s="50"/>
      <c r="E351" s="50"/>
      <c r="F351" s="50"/>
      <c r="G351" s="280"/>
      <c r="H351" s="293"/>
      <c r="I351" s="292"/>
      <c r="J351" s="292"/>
      <c r="K351" s="200"/>
      <c r="L351" s="200"/>
      <c r="M351" s="89" t="str">
        <f>IFERROR(VLOOKUP(H351,Lijsten!$H$1:$I$100,2,0),"")</f>
        <v/>
      </c>
      <c r="N351" s="89" t="str" cm="1">
        <f t="array" ref="N351">IFERROR(_xlfn.IFS(AND(LEFT(F351,6)="Arbeid",RIGHT(F351,3)&lt;&gt;"IKS"),IFERROR(VLOOKUP($G351,Tb_KostenTypen[],2,0),"tarief"),RIGHT(F351,3)="IKS","Uurtarief",LEFT(F351,6)="Arbeid","Uurtarief",AND(LEFT(F351,8)="Bijdrage",RIGHT(F351,15)="(vrijwilligers)"),"Vast tarief"),"")</f>
        <v/>
      </c>
      <c r="O351" s="90"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0"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1"/>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59"/>
      <c r="Z351" s="49"/>
      <c r="AA351" s="37" t="str" cm="1">
        <f t="array" ref="AA351">IFERROR(IF(INDEX(SubsidieTabel!$Q$1:$T$9,MATCH($F351,SubsidieTabel!$Q$1:$Q$9,0),IFERROR(MATCH(Methode_Keuze,SubsidieTabel!$Q$1:$T$1,0),2))&lt;&gt;1=TRUE,"ja",""),"")</f>
        <v/>
      </c>
    </row>
    <row r="352" spans="1:27" ht="15" customHeight="1" x14ac:dyDescent="0.25">
      <c r="A352" s="85"/>
      <c r="B352" s="217" t="str">
        <f>IF(A352&lt;&gt;"",_xlfn.MAXIFS($B$1:B351,$A$1:A351,A352)+1,"")</f>
        <v/>
      </c>
      <c r="C352" s="50"/>
      <c r="D352" s="50"/>
      <c r="E352" s="50"/>
      <c r="F352" s="50"/>
      <c r="G352" s="280"/>
      <c r="H352" s="293"/>
      <c r="I352" s="292"/>
      <c r="J352" s="292"/>
      <c r="K352" s="200"/>
      <c r="L352" s="200"/>
      <c r="M352" s="89" t="str">
        <f>IFERROR(VLOOKUP(H352,Lijsten!$H$1:$I$100,2,0),"")</f>
        <v/>
      </c>
      <c r="N352" s="89" t="str" cm="1">
        <f t="array" ref="N352">IFERROR(_xlfn.IFS(AND(LEFT(F352,6)="Arbeid",RIGHT(F352,3)&lt;&gt;"IKS"),IFERROR(VLOOKUP($G352,Tb_KostenTypen[],2,0),"tarief"),RIGHT(F352,3)="IKS","Uurtarief",LEFT(F352,6)="Arbeid","Uurtarief",AND(LEFT(F352,8)="Bijdrage",RIGHT(F352,15)="(vrijwilligers)"),"Vast tarief"),"")</f>
        <v/>
      </c>
      <c r="O352" s="90"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0"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1"/>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59"/>
      <c r="Z352" s="49"/>
      <c r="AA352" s="37" t="str" cm="1">
        <f t="array" ref="AA352">IFERROR(IF(INDEX(SubsidieTabel!$Q$1:$T$9,MATCH($F352,SubsidieTabel!$Q$1:$Q$9,0),IFERROR(MATCH(Methode_Keuze,SubsidieTabel!$Q$1:$T$1,0),2))&lt;&gt;1=TRUE,"ja",""),"")</f>
        <v/>
      </c>
    </row>
    <row r="353" spans="1:27" ht="15" customHeight="1" x14ac:dyDescent="0.25">
      <c r="A353" s="85"/>
      <c r="B353" s="217" t="str">
        <f>IF(A353&lt;&gt;"",_xlfn.MAXIFS($B$1:B352,$A$1:A352,A353)+1,"")</f>
        <v/>
      </c>
      <c r="C353" s="50"/>
      <c r="D353" s="50"/>
      <c r="E353" s="50"/>
      <c r="F353" s="50"/>
      <c r="G353" s="280"/>
      <c r="H353" s="293"/>
      <c r="I353" s="292"/>
      <c r="J353" s="292"/>
      <c r="K353" s="200"/>
      <c r="L353" s="200"/>
      <c r="M353" s="89" t="str">
        <f>IFERROR(VLOOKUP(H353,Lijsten!$H$1:$I$100,2,0),"")</f>
        <v/>
      </c>
      <c r="N353" s="89" t="str" cm="1">
        <f t="array" ref="N353">IFERROR(_xlfn.IFS(AND(LEFT(F353,6)="Arbeid",RIGHT(F353,3)&lt;&gt;"IKS"),IFERROR(VLOOKUP($G353,Tb_KostenTypen[],2,0),"tarief"),RIGHT(F353,3)="IKS","Uurtarief",LEFT(F353,6)="Arbeid","Uurtarief",AND(LEFT(F353,8)="Bijdrage",RIGHT(F353,15)="(vrijwilligers)"),"Vast tarief"),"")</f>
        <v/>
      </c>
      <c r="O353" s="90"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0"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1"/>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59"/>
      <c r="Z353" s="49"/>
      <c r="AA353" s="37" t="str" cm="1">
        <f t="array" ref="AA353">IFERROR(IF(INDEX(SubsidieTabel!$Q$1:$T$9,MATCH($F353,SubsidieTabel!$Q$1:$Q$9,0),IFERROR(MATCH(Methode_Keuze,SubsidieTabel!$Q$1:$T$1,0),2))&lt;&gt;1=TRUE,"ja",""),"")</f>
        <v/>
      </c>
    </row>
    <row r="354" spans="1:27" ht="15" customHeight="1" x14ac:dyDescent="0.25">
      <c r="A354" s="85"/>
      <c r="B354" s="217" t="str">
        <f>IF(A354&lt;&gt;"",_xlfn.MAXIFS($B$1:B353,$A$1:A353,A354)+1,"")</f>
        <v/>
      </c>
      <c r="C354" s="50"/>
      <c r="D354" s="50"/>
      <c r="E354" s="50"/>
      <c r="F354" s="50"/>
      <c r="G354" s="280"/>
      <c r="H354" s="293"/>
      <c r="I354" s="292"/>
      <c r="J354" s="292"/>
      <c r="K354" s="200"/>
      <c r="L354" s="200"/>
      <c r="M354" s="89" t="str">
        <f>IFERROR(VLOOKUP(H354,Lijsten!$H$1:$I$100,2,0),"")</f>
        <v/>
      </c>
      <c r="N354" s="89" t="str" cm="1">
        <f t="array" ref="N354">IFERROR(_xlfn.IFS(AND(LEFT(F354,6)="Arbeid",RIGHT(F354,3)&lt;&gt;"IKS"),IFERROR(VLOOKUP($G354,Tb_KostenTypen[],2,0),"tarief"),RIGHT(F354,3)="IKS","Uurtarief",LEFT(F354,6)="Arbeid","Uurtarief",AND(LEFT(F354,8)="Bijdrage",RIGHT(F354,15)="(vrijwilligers)"),"Vast tarief"),"")</f>
        <v/>
      </c>
      <c r="O354" s="90"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0"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1"/>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59"/>
      <c r="Z354" s="49"/>
      <c r="AA354" s="37" t="str" cm="1">
        <f t="array" ref="AA354">IFERROR(IF(INDEX(SubsidieTabel!$Q$1:$T$9,MATCH($F354,SubsidieTabel!$Q$1:$Q$9,0),IFERROR(MATCH(Methode_Keuze,SubsidieTabel!$Q$1:$T$1,0),2))&lt;&gt;1=TRUE,"ja",""),"")</f>
        <v/>
      </c>
    </row>
    <row r="355" spans="1:27" ht="15" customHeight="1" x14ac:dyDescent="0.25">
      <c r="A355" s="85"/>
      <c r="B355" s="217" t="str">
        <f>IF(A355&lt;&gt;"",_xlfn.MAXIFS($B$1:B354,$A$1:A354,A355)+1,"")</f>
        <v/>
      </c>
      <c r="C355" s="50"/>
      <c r="D355" s="50"/>
      <c r="E355" s="50"/>
      <c r="F355" s="50"/>
      <c r="G355" s="280"/>
      <c r="H355" s="293"/>
      <c r="I355" s="292"/>
      <c r="J355" s="292"/>
      <c r="K355" s="200"/>
      <c r="L355" s="200"/>
      <c r="M355" s="89" t="str">
        <f>IFERROR(VLOOKUP(H355,Lijsten!$H$1:$I$100,2,0),"")</f>
        <v/>
      </c>
      <c r="N355" s="89" t="str" cm="1">
        <f t="array" ref="N355">IFERROR(_xlfn.IFS(AND(LEFT(F355,6)="Arbeid",RIGHT(F355,3)&lt;&gt;"IKS"),IFERROR(VLOOKUP($G355,Tb_KostenTypen[],2,0),"tarief"),RIGHT(F355,3)="IKS","Uurtarief",LEFT(F355,6)="Arbeid","Uurtarief",AND(LEFT(F355,8)="Bijdrage",RIGHT(F355,15)="(vrijwilligers)"),"Vast tarief"),"")</f>
        <v/>
      </c>
      <c r="O355" s="90"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0"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1"/>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59"/>
      <c r="Z355" s="49"/>
      <c r="AA355" s="37" t="str" cm="1">
        <f t="array" ref="AA355">IFERROR(IF(INDEX(SubsidieTabel!$Q$1:$T$9,MATCH($F355,SubsidieTabel!$Q$1:$Q$9,0),IFERROR(MATCH(Methode_Keuze,SubsidieTabel!$Q$1:$T$1,0),2))&lt;&gt;1=TRUE,"ja",""),"")</f>
        <v/>
      </c>
    </row>
    <row r="356" spans="1:27" ht="15" customHeight="1" x14ac:dyDescent="0.25">
      <c r="A356" s="85"/>
      <c r="B356" s="217" t="str">
        <f>IF(A356&lt;&gt;"",_xlfn.MAXIFS($B$1:B355,$A$1:A355,A356)+1,"")</f>
        <v/>
      </c>
      <c r="C356" s="50"/>
      <c r="D356" s="50"/>
      <c r="E356" s="50"/>
      <c r="F356" s="50"/>
      <c r="G356" s="280"/>
      <c r="H356" s="293"/>
      <c r="I356" s="292"/>
      <c r="J356" s="292"/>
      <c r="K356" s="200"/>
      <c r="L356" s="200"/>
      <c r="M356" s="89" t="str">
        <f>IFERROR(VLOOKUP(H356,Lijsten!$H$1:$I$100,2,0),"")</f>
        <v/>
      </c>
      <c r="N356" s="89" t="str" cm="1">
        <f t="array" ref="N356">IFERROR(_xlfn.IFS(AND(LEFT(F356,6)="Arbeid",RIGHT(F356,3)&lt;&gt;"IKS"),IFERROR(VLOOKUP($G356,Tb_KostenTypen[],2,0),"tarief"),RIGHT(F356,3)="IKS","Uurtarief",LEFT(F356,6)="Arbeid","Uurtarief",AND(LEFT(F356,8)="Bijdrage",RIGHT(F356,15)="(vrijwilligers)"),"Vast tarief"),"")</f>
        <v/>
      </c>
      <c r="O356" s="90"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0"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1"/>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59"/>
      <c r="Z356" s="49"/>
      <c r="AA356" s="37" t="str" cm="1">
        <f t="array" ref="AA356">IFERROR(IF(INDEX(SubsidieTabel!$Q$1:$T$9,MATCH($F356,SubsidieTabel!$Q$1:$Q$9,0),IFERROR(MATCH(Methode_Keuze,SubsidieTabel!$Q$1:$T$1,0),2))&lt;&gt;1=TRUE,"ja",""),"")</f>
        <v/>
      </c>
    </row>
    <row r="357" spans="1:27" ht="15" customHeight="1" x14ac:dyDescent="0.25">
      <c r="A357" s="85"/>
      <c r="B357" s="217" t="str">
        <f>IF(A357&lt;&gt;"",_xlfn.MAXIFS($B$1:B356,$A$1:A356,A357)+1,"")</f>
        <v/>
      </c>
      <c r="C357" s="50"/>
      <c r="D357" s="50"/>
      <c r="E357" s="50"/>
      <c r="F357" s="50"/>
      <c r="G357" s="280"/>
      <c r="H357" s="293"/>
      <c r="I357" s="292"/>
      <c r="J357" s="292"/>
      <c r="K357" s="200"/>
      <c r="L357" s="200"/>
      <c r="M357" s="89" t="str">
        <f>IFERROR(VLOOKUP(H357,Lijsten!$H$1:$I$100,2,0),"")</f>
        <v/>
      </c>
      <c r="N357" s="89" t="str" cm="1">
        <f t="array" ref="N357">IFERROR(_xlfn.IFS(AND(LEFT(F357,6)="Arbeid",RIGHT(F357,3)&lt;&gt;"IKS"),IFERROR(VLOOKUP($G357,Tb_KostenTypen[],2,0),"tarief"),RIGHT(F357,3)="IKS","Uurtarief",LEFT(F357,6)="Arbeid","Uurtarief",AND(LEFT(F357,8)="Bijdrage",RIGHT(F357,15)="(vrijwilligers)"),"Vast tarief"),"")</f>
        <v/>
      </c>
      <c r="O357" s="90"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0"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1"/>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59"/>
      <c r="Z357" s="49"/>
      <c r="AA357" s="37" t="str" cm="1">
        <f t="array" ref="AA357">IFERROR(IF(INDEX(SubsidieTabel!$Q$1:$T$9,MATCH($F357,SubsidieTabel!$Q$1:$Q$9,0),IFERROR(MATCH(Methode_Keuze,SubsidieTabel!$Q$1:$T$1,0),2))&lt;&gt;1=TRUE,"ja",""),"")</f>
        <v/>
      </c>
    </row>
    <row r="358" spans="1:27" ht="15" customHeight="1" x14ac:dyDescent="0.25">
      <c r="A358" s="85"/>
      <c r="B358" s="217" t="str">
        <f>IF(A358&lt;&gt;"",_xlfn.MAXIFS($B$1:B357,$A$1:A357,A358)+1,"")</f>
        <v/>
      </c>
      <c r="C358" s="50"/>
      <c r="D358" s="50"/>
      <c r="E358" s="50"/>
      <c r="F358" s="50"/>
      <c r="G358" s="280"/>
      <c r="H358" s="293"/>
      <c r="I358" s="292"/>
      <c r="J358" s="292"/>
      <c r="K358" s="200"/>
      <c r="L358" s="200"/>
      <c r="M358" s="89" t="str">
        <f>IFERROR(VLOOKUP(H358,Lijsten!$H$1:$I$100,2,0),"")</f>
        <v/>
      </c>
      <c r="N358" s="89" t="str" cm="1">
        <f t="array" ref="N358">IFERROR(_xlfn.IFS(AND(LEFT(F358,6)="Arbeid",RIGHT(F358,3)&lt;&gt;"IKS"),IFERROR(VLOOKUP($G358,Tb_KostenTypen[],2,0),"tarief"),RIGHT(F358,3)="IKS","Uurtarief",LEFT(F358,6)="Arbeid","Uurtarief",AND(LEFT(F358,8)="Bijdrage",RIGHT(F358,15)="(vrijwilligers)"),"Vast tarief"),"")</f>
        <v/>
      </c>
      <c r="O358" s="90"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0"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1"/>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59"/>
      <c r="Z358" s="49"/>
      <c r="AA358" s="37" t="str" cm="1">
        <f t="array" ref="AA358">IFERROR(IF(INDEX(SubsidieTabel!$Q$1:$T$9,MATCH($F358,SubsidieTabel!$Q$1:$Q$9,0),IFERROR(MATCH(Methode_Keuze,SubsidieTabel!$Q$1:$T$1,0),2))&lt;&gt;1=TRUE,"ja",""),"")</f>
        <v/>
      </c>
    </row>
    <row r="359" spans="1:27" ht="15" customHeight="1" x14ac:dyDescent="0.25">
      <c r="A359" s="85"/>
      <c r="B359" s="217" t="str">
        <f>IF(A359&lt;&gt;"",_xlfn.MAXIFS($B$1:B358,$A$1:A358,A359)+1,"")</f>
        <v/>
      </c>
      <c r="C359" s="50"/>
      <c r="D359" s="50"/>
      <c r="E359" s="50"/>
      <c r="F359" s="50"/>
      <c r="G359" s="280"/>
      <c r="H359" s="293"/>
      <c r="I359" s="292"/>
      <c r="J359" s="292"/>
      <c r="K359" s="200"/>
      <c r="L359" s="200"/>
      <c r="M359" s="89" t="str">
        <f>IFERROR(VLOOKUP(H359,Lijsten!$H$1:$I$100,2,0),"")</f>
        <v/>
      </c>
      <c r="N359" s="89" t="str" cm="1">
        <f t="array" ref="N359">IFERROR(_xlfn.IFS(AND(LEFT(F359,6)="Arbeid",RIGHT(F359,3)&lt;&gt;"IKS"),IFERROR(VLOOKUP($G359,Tb_KostenTypen[],2,0),"tarief"),RIGHT(F359,3)="IKS","Uurtarief",LEFT(F359,6)="Arbeid","Uurtarief",AND(LEFT(F359,8)="Bijdrage",RIGHT(F359,15)="(vrijwilligers)"),"Vast tarief"),"")</f>
        <v/>
      </c>
      <c r="O359" s="90"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0"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1"/>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59"/>
      <c r="Z359" s="49"/>
      <c r="AA359" s="37" t="str" cm="1">
        <f t="array" ref="AA359">IFERROR(IF(INDEX(SubsidieTabel!$Q$1:$T$9,MATCH($F359,SubsidieTabel!$Q$1:$Q$9,0),IFERROR(MATCH(Methode_Keuze,SubsidieTabel!$Q$1:$T$1,0),2))&lt;&gt;1=TRUE,"ja",""),"")</f>
        <v/>
      </c>
    </row>
    <row r="360" spans="1:27" ht="15" customHeight="1" x14ac:dyDescent="0.25">
      <c r="A360" s="85"/>
      <c r="B360" s="217" t="str">
        <f>IF(A360&lt;&gt;"",_xlfn.MAXIFS($B$1:B359,$A$1:A359,A360)+1,"")</f>
        <v/>
      </c>
      <c r="C360" s="50"/>
      <c r="D360" s="50"/>
      <c r="E360" s="50"/>
      <c r="F360" s="50"/>
      <c r="G360" s="280"/>
      <c r="H360" s="293"/>
      <c r="I360" s="292"/>
      <c r="J360" s="292"/>
      <c r="K360" s="200"/>
      <c r="L360" s="200"/>
      <c r="M360" s="89" t="str">
        <f>IFERROR(VLOOKUP(H360,Lijsten!$H$1:$I$100,2,0),"")</f>
        <v/>
      </c>
      <c r="N360" s="89" t="str" cm="1">
        <f t="array" ref="N360">IFERROR(_xlfn.IFS(AND(LEFT(F360,6)="Arbeid",RIGHT(F360,3)&lt;&gt;"IKS"),IFERROR(VLOOKUP($G360,Tb_KostenTypen[],2,0),"tarief"),RIGHT(F360,3)="IKS","Uurtarief",LEFT(F360,6)="Arbeid","Uurtarief",AND(LEFT(F360,8)="Bijdrage",RIGHT(F360,15)="(vrijwilligers)"),"Vast tarief"),"")</f>
        <v/>
      </c>
      <c r="O360" s="90"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0"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1"/>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59"/>
      <c r="Z360" s="49"/>
      <c r="AA360" s="37" t="str" cm="1">
        <f t="array" ref="AA360">IFERROR(IF(INDEX(SubsidieTabel!$Q$1:$T$9,MATCH($F360,SubsidieTabel!$Q$1:$Q$9,0),IFERROR(MATCH(Methode_Keuze,SubsidieTabel!$Q$1:$T$1,0),2))&lt;&gt;1=TRUE,"ja",""),"")</f>
        <v/>
      </c>
    </row>
    <row r="361" spans="1:27" ht="15" customHeight="1" x14ac:dyDescent="0.25">
      <c r="A361" s="85"/>
      <c r="B361" s="217" t="str">
        <f>IF(A361&lt;&gt;"",_xlfn.MAXIFS($B$1:B360,$A$1:A360,A361)+1,"")</f>
        <v/>
      </c>
      <c r="C361" s="50"/>
      <c r="D361" s="50"/>
      <c r="E361" s="50"/>
      <c r="F361" s="50"/>
      <c r="G361" s="280"/>
      <c r="H361" s="293"/>
      <c r="I361" s="292"/>
      <c r="J361" s="292"/>
      <c r="K361" s="200"/>
      <c r="L361" s="200"/>
      <c r="M361" s="89" t="str">
        <f>IFERROR(VLOOKUP(H361,Lijsten!$H$1:$I$100,2,0),"")</f>
        <v/>
      </c>
      <c r="N361" s="89" t="str" cm="1">
        <f t="array" ref="N361">IFERROR(_xlfn.IFS(AND(LEFT(F361,6)="Arbeid",RIGHT(F361,3)&lt;&gt;"IKS"),IFERROR(VLOOKUP($G361,Tb_KostenTypen[],2,0),"tarief"),RIGHT(F361,3)="IKS","Uurtarief",LEFT(F361,6)="Arbeid","Uurtarief",AND(LEFT(F361,8)="Bijdrage",RIGHT(F361,15)="(vrijwilligers)"),"Vast tarief"),"")</f>
        <v/>
      </c>
      <c r="O361" s="90"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0"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1"/>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59"/>
      <c r="Z361" s="49"/>
      <c r="AA361" s="37" t="str" cm="1">
        <f t="array" ref="AA361">IFERROR(IF(INDEX(SubsidieTabel!$Q$1:$T$9,MATCH($F361,SubsidieTabel!$Q$1:$Q$9,0),IFERROR(MATCH(Methode_Keuze,SubsidieTabel!$Q$1:$T$1,0),2))&lt;&gt;1=TRUE,"ja",""),"")</f>
        <v/>
      </c>
    </row>
    <row r="362" spans="1:27" ht="15" customHeight="1" x14ac:dyDescent="0.25">
      <c r="A362" s="85"/>
      <c r="B362" s="217" t="str">
        <f>IF(A362&lt;&gt;"",_xlfn.MAXIFS($B$1:B361,$A$1:A361,A362)+1,"")</f>
        <v/>
      </c>
      <c r="C362" s="50"/>
      <c r="D362" s="50"/>
      <c r="E362" s="50"/>
      <c r="F362" s="50"/>
      <c r="G362" s="280"/>
      <c r="H362" s="293"/>
      <c r="I362" s="292"/>
      <c r="J362" s="292"/>
      <c r="K362" s="200"/>
      <c r="L362" s="200"/>
      <c r="M362" s="89" t="str">
        <f>IFERROR(VLOOKUP(H362,Lijsten!$H$1:$I$100,2,0),"")</f>
        <v/>
      </c>
      <c r="N362" s="89" t="str" cm="1">
        <f t="array" ref="N362">IFERROR(_xlfn.IFS(AND(LEFT(F362,6)="Arbeid",RIGHT(F362,3)&lt;&gt;"IKS"),IFERROR(VLOOKUP($G362,Tb_KostenTypen[],2,0),"tarief"),RIGHT(F362,3)="IKS","Uurtarief",LEFT(F362,6)="Arbeid","Uurtarief",AND(LEFT(F362,8)="Bijdrage",RIGHT(F362,15)="(vrijwilligers)"),"Vast tarief"),"")</f>
        <v/>
      </c>
      <c r="O362" s="90"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0"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1"/>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59"/>
      <c r="Z362" s="49"/>
      <c r="AA362" s="37" t="str" cm="1">
        <f t="array" ref="AA362">IFERROR(IF(INDEX(SubsidieTabel!$Q$1:$T$9,MATCH($F362,SubsidieTabel!$Q$1:$Q$9,0),IFERROR(MATCH(Methode_Keuze,SubsidieTabel!$Q$1:$T$1,0),2))&lt;&gt;1=TRUE,"ja",""),"")</f>
        <v/>
      </c>
    </row>
    <row r="363" spans="1:27" ht="15" customHeight="1" x14ac:dyDescent="0.25">
      <c r="A363" s="85"/>
      <c r="B363" s="217" t="str">
        <f>IF(A363&lt;&gt;"",_xlfn.MAXIFS($B$1:B362,$A$1:A362,A363)+1,"")</f>
        <v/>
      </c>
      <c r="C363" s="50"/>
      <c r="D363" s="50"/>
      <c r="E363" s="50"/>
      <c r="F363" s="50"/>
      <c r="G363" s="280"/>
      <c r="H363" s="293"/>
      <c r="I363" s="292"/>
      <c r="J363" s="292"/>
      <c r="K363" s="200"/>
      <c r="L363" s="200"/>
      <c r="M363" s="89" t="str">
        <f>IFERROR(VLOOKUP(H363,Lijsten!$H$1:$I$100,2,0),"")</f>
        <v/>
      </c>
      <c r="N363" s="89" t="str" cm="1">
        <f t="array" ref="N363">IFERROR(_xlfn.IFS(AND(LEFT(F363,6)="Arbeid",RIGHT(F363,3)&lt;&gt;"IKS"),IFERROR(VLOOKUP($G363,Tb_KostenTypen[],2,0),"tarief"),RIGHT(F363,3)="IKS","Uurtarief",LEFT(F363,6)="Arbeid","Uurtarief",AND(LEFT(F363,8)="Bijdrage",RIGHT(F363,15)="(vrijwilligers)"),"Vast tarief"),"")</f>
        <v/>
      </c>
      <c r="O363" s="90"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0"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1"/>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59"/>
      <c r="Z363" s="49"/>
      <c r="AA363" s="37" t="str" cm="1">
        <f t="array" ref="AA363">IFERROR(IF(INDEX(SubsidieTabel!$Q$1:$T$9,MATCH($F363,SubsidieTabel!$Q$1:$Q$9,0),IFERROR(MATCH(Methode_Keuze,SubsidieTabel!$Q$1:$T$1,0),2))&lt;&gt;1=TRUE,"ja",""),"")</f>
        <v/>
      </c>
    </row>
    <row r="364" spans="1:27" ht="15" customHeight="1" x14ac:dyDescent="0.25">
      <c r="A364" s="85"/>
      <c r="B364" s="217" t="str">
        <f>IF(A364&lt;&gt;"",_xlfn.MAXIFS($B$1:B363,$A$1:A363,A364)+1,"")</f>
        <v/>
      </c>
      <c r="C364" s="50"/>
      <c r="D364" s="50"/>
      <c r="E364" s="50"/>
      <c r="F364" s="50"/>
      <c r="G364" s="280"/>
      <c r="H364" s="293"/>
      <c r="I364" s="292"/>
      <c r="J364" s="292"/>
      <c r="K364" s="200"/>
      <c r="L364" s="200"/>
      <c r="M364" s="89" t="str">
        <f>IFERROR(VLOOKUP(H364,Lijsten!$H$1:$I$100,2,0),"")</f>
        <v/>
      </c>
      <c r="N364" s="89" t="str" cm="1">
        <f t="array" ref="N364">IFERROR(_xlfn.IFS(AND(LEFT(F364,6)="Arbeid",RIGHT(F364,3)&lt;&gt;"IKS"),IFERROR(VLOOKUP($G364,Tb_KostenTypen[],2,0),"tarief"),RIGHT(F364,3)="IKS","Uurtarief",LEFT(F364,6)="Arbeid","Uurtarief",AND(LEFT(F364,8)="Bijdrage",RIGHT(F364,15)="(vrijwilligers)"),"Vast tarief"),"")</f>
        <v/>
      </c>
      <c r="O364" s="90"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0"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1"/>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59"/>
      <c r="Z364" s="49"/>
      <c r="AA364" s="37" t="str" cm="1">
        <f t="array" ref="AA364">IFERROR(IF(INDEX(SubsidieTabel!$Q$1:$T$9,MATCH($F364,SubsidieTabel!$Q$1:$Q$9,0),IFERROR(MATCH(Methode_Keuze,SubsidieTabel!$Q$1:$T$1,0),2))&lt;&gt;1=TRUE,"ja",""),"")</f>
        <v/>
      </c>
    </row>
    <row r="365" spans="1:27" ht="15" customHeight="1" x14ac:dyDescent="0.25">
      <c r="A365" s="85"/>
      <c r="B365" s="217" t="str">
        <f>IF(A365&lt;&gt;"",_xlfn.MAXIFS($B$1:B364,$A$1:A364,A365)+1,"")</f>
        <v/>
      </c>
      <c r="C365" s="50"/>
      <c r="D365" s="50"/>
      <c r="E365" s="50"/>
      <c r="F365" s="50"/>
      <c r="G365" s="280"/>
      <c r="H365" s="293"/>
      <c r="I365" s="292"/>
      <c r="J365" s="292"/>
      <c r="K365" s="200"/>
      <c r="L365" s="200"/>
      <c r="M365" s="89" t="str">
        <f>IFERROR(VLOOKUP(H365,Lijsten!$H$1:$I$100,2,0),"")</f>
        <v/>
      </c>
      <c r="N365" s="89" t="str" cm="1">
        <f t="array" ref="N365">IFERROR(_xlfn.IFS(AND(LEFT(F365,6)="Arbeid",RIGHT(F365,3)&lt;&gt;"IKS"),IFERROR(VLOOKUP($G365,Tb_KostenTypen[],2,0),"tarief"),RIGHT(F365,3)="IKS","Uurtarief",LEFT(F365,6)="Arbeid","Uurtarief",AND(LEFT(F365,8)="Bijdrage",RIGHT(F365,15)="(vrijwilligers)"),"Vast tarief"),"")</f>
        <v/>
      </c>
      <c r="O365" s="90"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0"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1"/>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59"/>
      <c r="Z365" s="49"/>
      <c r="AA365" s="37" t="str" cm="1">
        <f t="array" ref="AA365">IFERROR(IF(INDEX(SubsidieTabel!$Q$1:$T$9,MATCH($F365,SubsidieTabel!$Q$1:$Q$9,0),IFERROR(MATCH(Methode_Keuze,SubsidieTabel!$Q$1:$T$1,0),2))&lt;&gt;1=TRUE,"ja",""),"")</f>
        <v/>
      </c>
    </row>
    <row r="366" spans="1:27" ht="15" customHeight="1" x14ac:dyDescent="0.25">
      <c r="A366" s="85"/>
      <c r="B366" s="217" t="str">
        <f>IF(A366&lt;&gt;"",_xlfn.MAXIFS($B$1:B365,$A$1:A365,A366)+1,"")</f>
        <v/>
      </c>
      <c r="C366" s="50"/>
      <c r="D366" s="50"/>
      <c r="E366" s="50"/>
      <c r="F366" s="50"/>
      <c r="G366" s="280"/>
      <c r="H366" s="293"/>
      <c r="I366" s="292"/>
      <c r="J366" s="292"/>
      <c r="K366" s="200"/>
      <c r="L366" s="200"/>
      <c r="M366" s="89" t="str">
        <f>IFERROR(VLOOKUP(H366,Lijsten!$H$1:$I$100,2,0),"")</f>
        <v/>
      </c>
      <c r="N366" s="89" t="str" cm="1">
        <f t="array" ref="N366">IFERROR(_xlfn.IFS(AND(LEFT(F366,6)="Arbeid",RIGHT(F366,3)&lt;&gt;"IKS"),IFERROR(VLOOKUP($G366,Tb_KostenTypen[],2,0),"tarief"),RIGHT(F366,3)="IKS","Uurtarief",LEFT(F366,6)="Arbeid","Uurtarief",AND(LEFT(F366,8)="Bijdrage",RIGHT(F366,15)="(vrijwilligers)"),"Vast tarief"),"")</f>
        <v/>
      </c>
      <c r="O366" s="90"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0"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1"/>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59"/>
      <c r="Z366" s="49"/>
      <c r="AA366" s="37" t="str" cm="1">
        <f t="array" ref="AA366">IFERROR(IF(INDEX(SubsidieTabel!$Q$1:$T$9,MATCH($F366,SubsidieTabel!$Q$1:$Q$9,0),IFERROR(MATCH(Methode_Keuze,SubsidieTabel!$Q$1:$T$1,0),2))&lt;&gt;1=TRUE,"ja",""),"")</f>
        <v/>
      </c>
    </row>
    <row r="367" spans="1:27" ht="15" customHeight="1" x14ac:dyDescent="0.25">
      <c r="A367" s="85"/>
      <c r="B367" s="217" t="str">
        <f>IF(A367&lt;&gt;"",_xlfn.MAXIFS($B$1:B366,$A$1:A366,A367)+1,"")</f>
        <v/>
      </c>
      <c r="C367" s="50"/>
      <c r="D367" s="50"/>
      <c r="E367" s="50"/>
      <c r="F367" s="50"/>
      <c r="G367" s="280"/>
      <c r="H367" s="293"/>
      <c r="I367" s="292"/>
      <c r="J367" s="292"/>
      <c r="K367" s="200"/>
      <c r="L367" s="200"/>
      <c r="M367" s="89" t="str">
        <f>IFERROR(VLOOKUP(H367,Lijsten!$H$1:$I$100,2,0),"")</f>
        <v/>
      </c>
      <c r="N367" s="89" t="str" cm="1">
        <f t="array" ref="N367">IFERROR(_xlfn.IFS(AND(LEFT(F367,6)="Arbeid",RIGHT(F367,3)&lt;&gt;"IKS"),IFERROR(VLOOKUP($G367,Tb_KostenTypen[],2,0),"tarief"),RIGHT(F367,3)="IKS","Uurtarief",LEFT(F367,6)="Arbeid","Uurtarief",AND(LEFT(F367,8)="Bijdrage",RIGHT(F367,15)="(vrijwilligers)"),"Vast tarief"),"")</f>
        <v/>
      </c>
      <c r="O367" s="90"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0"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1"/>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59"/>
      <c r="Z367" s="49"/>
      <c r="AA367" s="37" t="str" cm="1">
        <f t="array" ref="AA367">IFERROR(IF(INDEX(SubsidieTabel!$Q$1:$T$9,MATCH($F367,SubsidieTabel!$Q$1:$Q$9,0),IFERROR(MATCH(Methode_Keuze,SubsidieTabel!$Q$1:$T$1,0),2))&lt;&gt;1=TRUE,"ja",""),"")</f>
        <v/>
      </c>
    </row>
    <row r="368" spans="1:27" ht="15" customHeight="1" x14ac:dyDescent="0.25">
      <c r="A368" s="85"/>
      <c r="B368" s="217" t="str">
        <f>IF(A368&lt;&gt;"",_xlfn.MAXIFS($B$1:B367,$A$1:A367,A368)+1,"")</f>
        <v/>
      </c>
      <c r="C368" s="50"/>
      <c r="D368" s="50"/>
      <c r="E368" s="50"/>
      <c r="F368" s="50"/>
      <c r="G368" s="280"/>
      <c r="H368" s="293"/>
      <c r="I368" s="292"/>
      <c r="J368" s="292"/>
      <c r="K368" s="200"/>
      <c r="L368" s="200"/>
      <c r="M368" s="89" t="str">
        <f>IFERROR(VLOOKUP(H368,Lijsten!$H$1:$I$100,2,0),"")</f>
        <v/>
      </c>
      <c r="N368" s="89" t="str" cm="1">
        <f t="array" ref="N368">IFERROR(_xlfn.IFS(AND(LEFT(F368,6)="Arbeid",RIGHT(F368,3)&lt;&gt;"IKS"),IFERROR(VLOOKUP($G368,Tb_KostenTypen[],2,0),"tarief"),RIGHT(F368,3)="IKS","Uurtarief",LEFT(F368,6)="Arbeid","Uurtarief",AND(LEFT(F368,8)="Bijdrage",RIGHT(F368,15)="(vrijwilligers)"),"Vast tarief"),"")</f>
        <v/>
      </c>
      <c r="O368" s="90"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0"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1"/>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59"/>
      <c r="Z368" s="49"/>
      <c r="AA368" s="37" t="str" cm="1">
        <f t="array" ref="AA368">IFERROR(IF(INDEX(SubsidieTabel!$Q$1:$T$9,MATCH($F368,SubsidieTabel!$Q$1:$Q$9,0),IFERROR(MATCH(Methode_Keuze,SubsidieTabel!$Q$1:$T$1,0),2))&lt;&gt;1=TRUE,"ja",""),"")</f>
        <v/>
      </c>
    </row>
    <row r="369" spans="1:27" ht="15" customHeight="1" x14ac:dyDescent="0.25">
      <c r="A369" s="85"/>
      <c r="B369" s="217" t="str">
        <f>IF(A369&lt;&gt;"",_xlfn.MAXIFS($B$1:B368,$A$1:A368,A369)+1,"")</f>
        <v/>
      </c>
      <c r="C369" s="50"/>
      <c r="D369" s="50"/>
      <c r="E369" s="50"/>
      <c r="F369" s="50"/>
      <c r="G369" s="280"/>
      <c r="H369" s="293"/>
      <c r="I369" s="292"/>
      <c r="J369" s="292"/>
      <c r="K369" s="200"/>
      <c r="L369" s="200"/>
      <c r="M369" s="89" t="str">
        <f>IFERROR(VLOOKUP(H369,Lijsten!$H$1:$I$100,2,0),"")</f>
        <v/>
      </c>
      <c r="N369" s="89" t="str" cm="1">
        <f t="array" ref="N369">IFERROR(_xlfn.IFS(AND(LEFT(F369,6)="Arbeid",RIGHT(F369,3)&lt;&gt;"IKS"),IFERROR(VLOOKUP($G369,Tb_KostenTypen[],2,0),"tarief"),RIGHT(F369,3)="IKS","Uurtarief",LEFT(F369,6)="Arbeid","Uurtarief",AND(LEFT(F369,8)="Bijdrage",RIGHT(F369,15)="(vrijwilligers)"),"Vast tarief"),"")</f>
        <v/>
      </c>
      <c r="O369" s="90"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0"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1"/>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59"/>
      <c r="Z369" s="49"/>
      <c r="AA369" s="37" t="str" cm="1">
        <f t="array" ref="AA369">IFERROR(IF(INDEX(SubsidieTabel!$Q$1:$T$9,MATCH($F369,SubsidieTabel!$Q$1:$Q$9,0),IFERROR(MATCH(Methode_Keuze,SubsidieTabel!$Q$1:$T$1,0),2))&lt;&gt;1=TRUE,"ja",""),"")</f>
        <v/>
      </c>
    </row>
    <row r="370" spans="1:27" ht="15" customHeight="1" x14ac:dyDescent="0.25">
      <c r="A370" s="85"/>
      <c r="B370" s="217" t="str">
        <f>IF(A370&lt;&gt;"",_xlfn.MAXIFS($B$1:B369,$A$1:A369,A370)+1,"")</f>
        <v/>
      </c>
      <c r="C370" s="50"/>
      <c r="D370" s="50"/>
      <c r="E370" s="50"/>
      <c r="F370" s="50"/>
      <c r="G370" s="280"/>
      <c r="H370" s="293"/>
      <c r="I370" s="292"/>
      <c r="J370" s="292"/>
      <c r="K370" s="200"/>
      <c r="L370" s="200"/>
      <c r="M370" s="89" t="str">
        <f>IFERROR(VLOOKUP(H370,Lijsten!$H$1:$I$100,2,0),"")</f>
        <v/>
      </c>
      <c r="N370" s="89" t="str" cm="1">
        <f t="array" ref="N370">IFERROR(_xlfn.IFS(AND(LEFT(F370,6)="Arbeid",RIGHT(F370,3)&lt;&gt;"IKS"),IFERROR(VLOOKUP($G370,Tb_KostenTypen[],2,0),"tarief"),RIGHT(F370,3)="IKS","Uurtarief",LEFT(F370,6)="Arbeid","Uurtarief",AND(LEFT(F370,8)="Bijdrage",RIGHT(F370,15)="(vrijwilligers)"),"Vast tarief"),"")</f>
        <v/>
      </c>
      <c r="O370" s="90"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0"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1"/>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59"/>
      <c r="Z370" s="49"/>
      <c r="AA370" s="37" t="str" cm="1">
        <f t="array" ref="AA370">IFERROR(IF(INDEX(SubsidieTabel!$Q$1:$T$9,MATCH($F370,SubsidieTabel!$Q$1:$Q$9,0),IFERROR(MATCH(Methode_Keuze,SubsidieTabel!$Q$1:$T$1,0),2))&lt;&gt;1=TRUE,"ja",""),"")</f>
        <v/>
      </c>
    </row>
    <row r="371" spans="1:27" ht="15" customHeight="1" x14ac:dyDescent="0.25">
      <c r="A371" s="85"/>
      <c r="B371" s="217" t="str">
        <f>IF(A371&lt;&gt;"",_xlfn.MAXIFS($B$1:B370,$A$1:A370,A371)+1,"")</f>
        <v/>
      </c>
      <c r="C371" s="50"/>
      <c r="D371" s="50"/>
      <c r="E371" s="50"/>
      <c r="F371" s="50"/>
      <c r="G371" s="280"/>
      <c r="H371" s="293"/>
      <c r="I371" s="292"/>
      <c r="J371" s="292"/>
      <c r="K371" s="200"/>
      <c r="L371" s="200"/>
      <c r="M371" s="89" t="str">
        <f>IFERROR(VLOOKUP(H371,Lijsten!$H$1:$I$100,2,0),"")</f>
        <v/>
      </c>
      <c r="N371" s="89" t="str" cm="1">
        <f t="array" ref="N371">IFERROR(_xlfn.IFS(AND(LEFT(F371,6)="Arbeid",RIGHT(F371,3)&lt;&gt;"IKS"),IFERROR(VLOOKUP($G371,Tb_KostenTypen[],2,0),"tarief"),RIGHT(F371,3)="IKS","Uurtarief",LEFT(F371,6)="Arbeid","Uurtarief",AND(LEFT(F371,8)="Bijdrage",RIGHT(F371,15)="(vrijwilligers)"),"Vast tarief"),"")</f>
        <v/>
      </c>
      <c r="O371" s="90"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0"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1"/>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59"/>
      <c r="Z371" s="49"/>
      <c r="AA371" s="37" t="str" cm="1">
        <f t="array" ref="AA371">IFERROR(IF(INDEX(SubsidieTabel!$Q$1:$T$9,MATCH($F371,SubsidieTabel!$Q$1:$Q$9,0),IFERROR(MATCH(Methode_Keuze,SubsidieTabel!$Q$1:$T$1,0),2))&lt;&gt;1=TRUE,"ja",""),"")</f>
        <v/>
      </c>
    </row>
    <row r="372" spans="1:27" ht="15" customHeight="1" x14ac:dyDescent="0.25">
      <c r="A372" s="85"/>
      <c r="B372" s="217" t="str">
        <f>IF(A372&lt;&gt;"",_xlfn.MAXIFS($B$1:B371,$A$1:A371,A372)+1,"")</f>
        <v/>
      </c>
      <c r="C372" s="50"/>
      <c r="D372" s="50"/>
      <c r="E372" s="50"/>
      <c r="F372" s="50"/>
      <c r="G372" s="280"/>
      <c r="H372" s="293"/>
      <c r="I372" s="292"/>
      <c r="J372" s="292"/>
      <c r="K372" s="200"/>
      <c r="L372" s="200"/>
      <c r="M372" s="89" t="str">
        <f>IFERROR(VLOOKUP(H372,Lijsten!$H$1:$I$100,2,0),"")</f>
        <v/>
      </c>
      <c r="N372" s="89" t="str" cm="1">
        <f t="array" ref="N372">IFERROR(_xlfn.IFS(AND(LEFT(F372,6)="Arbeid",RIGHT(F372,3)&lt;&gt;"IKS"),IFERROR(VLOOKUP($G372,Tb_KostenTypen[],2,0),"tarief"),RIGHT(F372,3)="IKS","Uurtarief",LEFT(F372,6)="Arbeid","Uurtarief",AND(LEFT(F372,8)="Bijdrage",RIGHT(F372,15)="(vrijwilligers)"),"Vast tarief"),"")</f>
        <v/>
      </c>
      <c r="O372" s="90"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0"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1"/>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59"/>
      <c r="Z372" s="49"/>
      <c r="AA372" s="37" t="str" cm="1">
        <f t="array" ref="AA372">IFERROR(IF(INDEX(SubsidieTabel!$Q$1:$T$9,MATCH($F372,SubsidieTabel!$Q$1:$Q$9,0),IFERROR(MATCH(Methode_Keuze,SubsidieTabel!$Q$1:$T$1,0),2))&lt;&gt;1=TRUE,"ja",""),"")</f>
        <v/>
      </c>
    </row>
    <row r="373" spans="1:27" ht="15" customHeight="1" x14ac:dyDescent="0.25">
      <c r="A373" s="85"/>
      <c r="B373" s="217" t="str">
        <f>IF(A373&lt;&gt;"",_xlfn.MAXIFS($B$1:B372,$A$1:A372,A373)+1,"")</f>
        <v/>
      </c>
      <c r="C373" s="50"/>
      <c r="D373" s="50"/>
      <c r="E373" s="50"/>
      <c r="F373" s="50"/>
      <c r="G373" s="280"/>
      <c r="H373" s="293"/>
      <c r="I373" s="292"/>
      <c r="J373" s="292"/>
      <c r="K373" s="200"/>
      <c r="L373" s="200"/>
      <c r="M373" s="89" t="str">
        <f>IFERROR(VLOOKUP(H373,Lijsten!$H$1:$I$100,2,0),"")</f>
        <v/>
      </c>
      <c r="N373" s="89" t="str" cm="1">
        <f t="array" ref="N373">IFERROR(_xlfn.IFS(AND(LEFT(F373,6)="Arbeid",RIGHT(F373,3)&lt;&gt;"IKS"),IFERROR(VLOOKUP($G373,Tb_KostenTypen[],2,0),"tarief"),RIGHT(F373,3)="IKS","Uurtarief",LEFT(F373,6)="Arbeid","Uurtarief",AND(LEFT(F373,8)="Bijdrage",RIGHT(F373,15)="(vrijwilligers)"),"Vast tarief"),"")</f>
        <v/>
      </c>
      <c r="O373" s="90"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0"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1"/>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59"/>
      <c r="Z373" s="49"/>
      <c r="AA373" s="37" t="str" cm="1">
        <f t="array" ref="AA373">IFERROR(IF(INDEX(SubsidieTabel!$Q$1:$T$9,MATCH($F373,SubsidieTabel!$Q$1:$Q$9,0),IFERROR(MATCH(Methode_Keuze,SubsidieTabel!$Q$1:$T$1,0),2))&lt;&gt;1=TRUE,"ja",""),"")</f>
        <v/>
      </c>
    </row>
    <row r="374" spans="1:27" ht="15" customHeight="1" x14ac:dyDescent="0.25">
      <c r="A374" s="85"/>
      <c r="B374" s="217" t="str">
        <f>IF(A374&lt;&gt;"",_xlfn.MAXIFS($B$1:B373,$A$1:A373,A374)+1,"")</f>
        <v/>
      </c>
      <c r="C374" s="50"/>
      <c r="D374" s="50"/>
      <c r="E374" s="50"/>
      <c r="F374" s="50"/>
      <c r="G374" s="280"/>
      <c r="H374" s="293"/>
      <c r="I374" s="292"/>
      <c r="J374" s="292"/>
      <c r="K374" s="200"/>
      <c r="L374" s="200"/>
      <c r="M374" s="89" t="str">
        <f>IFERROR(VLOOKUP(H374,Lijsten!$H$1:$I$100,2,0),"")</f>
        <v/>
      </c>
      <c r="N374" s="89" t="str" cm="1">
        <f t="array" ref="N374">IFERROR(_xlfn.IFS(AND(LEFT(F374,6)="Arbeid",RIGHT(F374,3)&lt;&gt;"IKS"),IFERROR(VLOOKUP($G374,Tb_KostenTypen[],2,0),"tarief"),RIGHT(F374,3)="IKS","Uurtarief",LEFT(F374,6)="Arbeid","Uurtarief",AND(LEFT(F374,8)="Bijdrage",RIGHT(F374,15)="(vrijwilligers)"),"Vast tarief"),"")</f>
        <v/>
      </c>
      <c r="O374" s="90"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0"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1"/>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59"/>
      <c r="Z374" s="49"/>
      <c r="AA374" s="37" t="str" cm="1">
        <f t="array" ref="AA374">IFERROR(IF(INDEX(SubsidieTabel!$Q$1:$T$9,MATCH($F374,SubsidieTabel!$Q$1:$Q$9,0),IFERROR(MATCH(Methode_Keuze,SubsidieTabel!$Q$1:$T$1,0),2))&lt;&gt;1=TRUE,"ja",""),"")</f>
        <v/>
      </c>
    </row>
    <row r="375" spans="1:27" ht="15" customHeight="1" x14ac:dyDescent="0.25">
      <c r="A375" s="85"/>
      <c r="B375" s="217" t="str">
        <f>IF(A375&lt;&gt;"",_xlfn.MAXIFS($B$1:B374,$A$1:A374,A375)+1,"")</f>
        <v/>
      </c>
      <c r="C375" s="50"/>
      <c r="D375" s="50"/>
      <c r="E375" s="50"/>
      <c r="F375" s="50"/>
      <c r="G375" s="280"/>
      <c r="H375" s="293"/>
      <c r="I375" s="292"/>
      <c r="J375" s="292"/>
      <c r="K375" s="200"/>
      <c r="L375" s="200"/>
      <c r="M375" s="89" t="str">
        <f>IFERROR(VLOOKUP(H375,Lijsten!$H$1:$I$100,2,0),"")</f>
        <v/>
      </c>
      <c r="N375" s="89" t="str" cm="1">
        <f t="array" ref="N375">IFERROR(_xlfn.IFS(AND(LEFT(F375,6)="Arbeid",RIGHT(F375,3)&lt;&gt;"IKS"),IFERROR(VLOOKUP($G375,Tb_KostenTypen[],2,0),"tarief"),RIGHT(F375,3)="IKS","Uurtarief",LEFT(F375,6)="Arbeid","Uurtarief",AND(LEFT(F375,8)="Bijdrage",RIGHT(F375,15)="(vrijwilligers)"),"Vast tarief"),"")</f>
        <v/>
      </c>
      <c r="O375" s="90"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0"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1"/>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59"/>
      <c r="Z375" s="49"/>
      <c r="AA375" s="37" t="str" cm="1">
        <f t="array" ref="AA375">IFERROR(IF(INDEX(SubsidieTabel!$Q$1:$T$9,MATCH($F375,SubsidieTabel!$Q$1:$Q$9,0),IFERROR(MATCH(Methode_Keuze,SubsidieTabel!$Q$1:$T$1,0),2))&lt;&gt;1=TRUE,"ja",""),"")</f>
        <v/>
      </c>
    </row>
    <row r="376" spans="1:27" ht="15" customHeight="1" x14ac:dyDescent="0.25">
      <c r="A376" s="85"/>
      <c r="B376" s="217" t="str">
        <f>IF(A376&lt;&gt;"",_xlfn.MAXIFS($B$1:B375,$A$1:A375,A376)+1,"")</f>
        <v/>
      </c>
      <c r="C376" s="50"/>
      <c r="D376" s="50"/>
      <c r="E376" s="50"/>
      <c r="F376" s="50"/>
      <c r="G376" s="280"/>
      <c r="H376" s="293"/>
      <c r="I376" s="292"/>
      <c r="J376" s="292"/>
      <c r="K376" s="200"/>
      <c r="L376" s="200"/>
      <c r="M376" s="89" t="str">
        <f>IFERROR(VLOOKUP(H376,Lijsten!$H$1:$I$100,2,0),"")</f>
        <v/>
      </c>
      <c r="N376" s="89" t="str" cm="1">
        <f t="array" ref="N376">IFERROR(_xlfn.IFS(AND(LEFT(F376,6)="Arbeid",RIGHT(F376,3)&lt;&gt;"IKS"),IFERROR(VLOOKUP($G376,Tb_KostenTypen[],2,0),"tarief"),RIGHT(F376,3)="IKS","Uurtarief",LEFT(F376,6)="Arbeid","Uurtarief",AND(LEFT(F376,8)="Bijdrage",RIGHT(F376,15)="(vrijwilligers)"),"Vast tarief"),"")</f>
        <v/>
      </c>
      <c r="O376" s="90"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0"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1"/>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59"/>
      <c r="Z376" s="49"/>
      <c r="AA376" s="37" t="str" cm="1">
        <f t="array" ref="AA376">IFERROR(IF(INDEX(SubsidieTabel!$Q$1:$T$9,MATCH($F376,SubsidieTabel!$Q$1:$Q$9,0),IFERROR(MATCH(Methode_Keuze,SubsidieTabel!$Q$1:$T$1,0),2))&lt;&gt;1=TRUE,"ja",""),"")</f>
        <v/>
      </c>
    </row>
    <row r="377" spans="1:27" ht="15" customHeight="1" x14ac:dyDescent="0.25">
      <c r="A377" s="85"/>
      <c r="B377" s="217" t="str">
        <f>IF(A377&lt;&gt;"",_xlfn.MAXIFS($B$1:B376,$A$1:A376,A377)+1,"")</f>
        <v/>
      </c>
      <c r="C377" s="50"/>
      <c r="D377" s="50"/>
      <c r="E377" s="50"/>
      <c r="F377" s="50"/>
      <c r="G377" s="280"/>
      <c r="H377" s="293"/>
      <c r="I377" s="292"/>
      <c r="J377" s="292"/>
      <c r="K377" s="200"/>
      <c r="L377" s="200"/>
      <c r="M377" s="89" t="str">
        <f>IFERROR(VLOOKUP(H377,Lijsten!$H$1:$I$100,2,0),"")</f>
        <v/>
      </c>
      <c r="N377" s="89" t="str" cm="1">
        <f t="array" ref="N377">IFERROR(_xlfn.IFS(AND(LEFT(F377,6)="Arbeid",RIGHT(F377,3)&lt;&gt;"IKS"),IFERROR(VLOOKUP($G377,Tb_KostenTypen[],2,0),"tarief"),RIGHT(F377,3)="IKS","Uurtarief",LEFT(F377,6)="Arbeid","Uurtarief",AND(LEFT(F377,8)="Bijdrage",RIGHT(F377,15)="(vrijwilligers)"),"Vast tarief"),"")</f>
        <v/>
      </c>
      <c r="O377" s="90"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0"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1"/>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59"/>
      <c r="Z377" s="49"/>
      <c r="AA377" s="37" t="str" cm="1">
        <f t="array" ref="AA377">IFERROR(IF(INDEX(SubsidieTabel!$Q$1:$T$9,MATCH($F377,SubsidieTabel!$Q$1:$Q$9,0),IFERROR(MATCH(Methode_Keuze,SubsidieTabel!$Q$1:$T$1,0),2))&lt;&gt;1=TRUE,"ja",""),"")</f>
        <v/>
      </c>
    </row>
    <row r="378" spans="1:27" ht="15" customHeight="1" x14ac:dyDescent="0.25">
      <c r="A378" s="85"/>
      <c r="B378" s="217" t="str">
        <f>IF(A378&lt;&gt;"",_xlfn.MAXIFS($B$1:B377,$A$1:A377,A378)+1,"")</f>
        <v/>
      </c>
      <c r="C378" s="50"/>
      <c r="D378" s="50"/>
      <c r="E378" s="50"/>
      <c r="F378" s="50"/>
      <c r="G378" s="280"/>
      <c r="H378" s="293"/>
      <c r="I378" s="292"/>
      <c r="J378" s="292"/>
      <c r="K378" s="200"/>
      <c r="L378" s="200"/>
      <c r="M378" s="89" t="str">
        <f>IFERROR(VLOOKUP(H378,Lijsten!$H$1:$I$100,2,0),"")</f>
        <v/>
      </c>
      <c r="N378" s="89" t="str" cm="1">
        <f t="array" ref="N378">IFERROR(_xlfn.IFS(AND(LEFT(F378,6)="Arbeid",RIGHT(F378,3)&lt;&gt;"IKS"),IFERROR(VLOOKUP($G378,Tb_KostenTypen[],2,0),"tarief"),RIGHT(F378,3)="IKS","Uurtarief",LEFT(F378,6)="Arbeid","Uurtarief",AND(LEFT(F378,8)="Bijdrage",RIGHT(F378,15)="(vrijwilligers)"),"Vast tarief"),"")</f>
        <v/>
      </c>
      <c r="O378" s="90"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0"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1"/>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59"/>
      <c r="Z378" s="49"/>
      <c r="AA378" s="37" t="str" cm="1">
        <f t="array" ref="AA378">IFERROR(IF(INDEX(SubsidieTabel!$Q$1:$T$9,MATCH($F378,SubsidieTabel!$Q$1:$Q$9,0),IFERROR(MATCH(Methode_Keuze,SubsidieTabel!$Q$1:$T$1,0),2))&lt;&gt;1=TRUE,"ja",""),"")</f>
        <v/>
      </c>
    </row>
    <row r="379" spans="1:27" ht="15" customHeight="1" x14ac:dyDescent="0.25">
      <c r="A379" s="85"/>
      <c r="B379" s="217" t="str">
        <f>IF(A379&lt;&gt;"",_xlfn.MAXIFS($B$1:B378,$A$1:A378,A379)+1,"")</f>
        <v/>
      </c>
      <c r="C379" s="50"/>
      <c r="D379" s="50"/>
      <c r="E379" s="50"/>
      <c r="F379" s="50"/>
      <c r="G379" s="280"/>
      <c r="H379" s="293"/>
      <c r="I379" s="292"/>
      <c r="J379" s="292"/>
      <c r="K379" s="200"/>
      <c r="L379" s="200"/>
      <c r="M379" s="89" t="str">
        <f>IFERROR(VLOOKUP(H379,Lijsten!$H$1:$I$100,2,0),"")</f>
        <v/>
      </c>
      <c r="N379" s="89" t="str" cm="1">
        <f t="array" ref="N379">IFERROR(_xlfn.IFS(AND(LEFT(F379,6)="Arbeid",RIGHT(F379,3)&lt;&gt;"IKS"),IFERROR(VLOOKUP($G379,Tb_KostenTypen[],2,0),"tarief"),RIGHT(F379,3)="IKS","Uurtarief",LEFT(F379,6)="Arbeid","Uurtarief",AND(LEFT(F379,8)="Bijdrage",RIGHT(F379,15)="(vrijwilligers)"),"Vast tarief"),"")</f>
        <v/>
      </c>
      <c r="O379" s="90"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0"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1"/>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59"/>
      <c r="Z379" s="49"/>
      <c r="AA379" s="37" t="str" cm="1">
        <f t="array" ref="AA379">IFERROR(IF(INDEX(SubsidieTabel!$Q$1:$T$9,MATCH($F379,SubsidieTabel!$Q$1:$Q$9,0),IFERROR(MATCH(Methode_Keuze,SubsidieTabel!$Q$1:$T$1,0),2))&lt;&gt;1=TRUE,"ja",""),"")</f>
        <v/>
      </c>
    </row>
    <row r="380" spans="1:27" ht="15" customHeight="1" x14ac:dyDescent="0.25">
      <c r="A380" s="85"/>
      <c r="B380" s="217" t="str">
        <f>IF(A380&lt;&gt;"",_xlfn.MAXIFS($B$1:B379,$A$1:A379,A380)+1,"")</f>
        <v/>
      </c>
      <c r="C380" s="50"/>
      <c r="D380" s="50"/>
      <c r="E380" s="50"/>
      <c r="F380" s="50"/>
      <c r="G380" s="280"/>
      <c r="H380" s="293"/>
      <c r="I380" s="292"/>
      <c r="J380" s="292"/>
      <c r="K380" s="200"/>
      <c r="L380" s="200"/>
      <c r="M380" s="89" t="str">
        <f>IFERROR(VLOOKUP(H380,Lijsten!$H$1:$I$100,2,0),"")</f>
        <v/>
      </c>
      <c r="N380" s="89" t="str" cm="1">
        <f t="array" ref="N380">IFERROR(_xlfn.IFS(AND(LEFT(F380,6)="Arbeid",RIGHT(F380,3)&lt;&gt;"IKS"),IFERROR(VLOOKUP($G380,Tb_KostenTypen[],2,0),"tarief"),RIGHT(F380,3)="IKS","Uurtarief",LEFT(F380,6)="Arbeid","Uurtarief",AND(LEFT(F380,8)="Bijdrage",RIGHT(F380,15)="(vrijwilligers)"),"Vast tarief"),"")</f>
        <v/>
      </c>
      <c r="O380" s="90"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0"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1"/>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59"/>
      <c r="Z380" s="49"/>
      <c r="AA380" s="37" t="str" cm="1">
        <f t="array" ref="AA380">IFERROR(IF(INDEX(SubsidieTabel!$Q$1:$T$9,MATCH($F380,SubsidieTabel!$Q$1:$Q$9,0),IFERROR(MATCH(Methode_Keuze,SubsidieTabel!$Q$1:$T$1,0),2))&lt;&gt;1=TRUE,"ja",""),"")</f>
        <v/>
      </c>
    </row>
    <row r="381" spans="1:27" ht="15" customHeight="1" x14ac:dyDescent="0.25">
      <c r="A381" s="85"/>
      <c r="B381" s="217" t="str">
        <f>IF(A381&lt;&gt;"",_xlfn.MAXIFS($B$1:B380,$A$1:A380,A381)+1,"")</f>
        <v/>
      </c>
      <c r="C381" s="50"/>
      <c r="D381" s="50"/>
      <c r="E381" s="50"/>
      <c r="F381" s="50"/>
      <c r="G381" s="280"/>
      <c r="H381" s="293"/>
      <c r="I381" s="292"/>
      <c r="J381" s="292"/>
      <c r="K381" s="200"/>
      <c r="L381" s="200"/>
      <c r="M381" s="89" t="str">
        <f>IFERROR(VLOOKUP(H381,Lijsten!$H$1:$I$100,2,0),"")</f>
        <v/>
      </c>
      <c r="N381" s="89" t="str" cm="1">
        <f t="array" ref="N381">IFERROR(_xlfn.IFS(AND(LEFT(F381,6)="Arbeid",RIGHT(F381,3)&lt;&gt;"IKS"),IFERROR(VLOOKUP($G381,Tb_KostenTypen[],2,0),"tarief"),RIGHT(F381,3)="IKS","Uurtarief",LEFT(F381,6)="Arbeid","Uurtarief",AND(LEFT(F381,8)="Bijdrage",RIGHT(F381,15)="(vrijwilligers)"),"Vast tarief"),"")</f>
        <v/>
      </c>
      <c r="O381" s="90"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0"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1"/>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59"/>
      <c r="Z381" s="49"/>
      <c r="AA381" s="37" t="str" cm="1">
        <f t="array" ref="AA381">IFERROR(IF(INDEX(SubsidieTabel!$Q$1:$T$9,MATCH($F381,SubsidieTabel!$Q$1:$Q$9,0),IFERROR(MATCH(Methode_Keuze,SubsidieTabel!$Q$1:$T$1,0),2))&lt;&gt;1=TRUE,"ja",""),"")</f>
        <v/>
      </c>
    </row>
    <row r="382" spans="1:27" ht="15" customHeight="1" x14ac:dyDescent="0.25">
      <c r="A382" s="85"/>
      <c r="B382" s="217" t="str">
        <f>IF(A382&lt;&gt;"",_xlfn.MAXIFS($B$1:B381,$A$1:A381,A382)+1,"")</f>
        <v/>
      </c>
      <c r="C382" s="50"/>
      <c r="D382" s="50"/>
      <c r="E382" s="50"/>
      <c r="F382" s="50"/>
      <c r="G382" s="280"/>
      <c r="H382" s="293"/>
      <c r="I382" s="292"/>
      <c r="J382" s="292"/>
      <c r="K382" s="200"/>
      <c r="L382" s="200"/>
      <c r="M382" s="89" t="str">
        <f>IFERROR(VLOOKUP(H382,Lijsten!$H$1:$I$100,2,0),"")</f>
        <v/>
      </c>
      <c r="N382" s="89" t="str" cm="1">
        <f t="array" ref="N382">IFERROR(_xlfn.IFS(AND(LEFT(F382,6)="Arbeid",RIGHT(F382,3)&lt;&gt;"IKS"),IFERROR(VLOOKUP($G382,Tb_KostenTypen[],2,0),"tarief"),RIGHT(F382,3)="IKS","Uurtarief",LEFT(F382,6)="Arbeid","Uurtarief",AND(LEFT(F382,8)="Bijdrage",RIGHT(F382,15)="(vrijwilligers)"),"Vast tarief"),"")</f>
        <v/>
      </c>
      <c r="O382" s="90"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0"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1"/>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59"/>
      <c r="Z382" s="49"/>
      <c r="AA382" s="37" t="str" cm="1">
        <f t="array" ref="AA382">IFERROR(IF(INDEX(SubsidieTabel!$Q$1:$T$9,MATCH($F382,SubsidieTabel!$Q$1:$Q$9,0),IFERROR(MATCH(Methode_Keuze,SubsidieTabel!$Q$1:$T$1,0),2))&lt;&gt;1=TRUE,"ja",""),"")</f>
        <v/>
      </c>
    </row>
    <row r="383" spans="1:27" ht="15" customHeight="1" x14ac:dyDescent="0.25">
      <c r="A383" s="85"/>
      <c r="B383" s="217" t="str">
        <f>IF(A383&lt;&gt;"",_xlfn.MAXIFS($B$1:B382,$A$1:A382,A383)+1,"")</f>
        <v/>
      </c>
      <c r="C383" s="50"/>
      <c r="D383" s="50"/>
      <c r="E383" s="50"/>
      <c r="F383" s="50"/>
      <c r="G383" s="280"/>
      <c r="H383" s="293"/>
      <c r="I383" s="292"/>
      <c r="J383" s="292"/>
      <c r="K383" s="200"/>
      <c r="L383" s="200"/>
      <c r="M383" s="89" t="str">
        <f>IFERROR(VLOOKUP(H383,Lijsten!$H$1:$I$100,2,0),"")</f>
        <v/>
      </c>
      <c r="N383" s="89" t="str" cm="1">
        <f t="array" ref="N383">IFERROR(_xlfn.IFS(AND(LEFT(F383,6)="Arbeid",RIGHT(F383,3)&lt;&gt;"IKS"),IFERROR(VLOOKUP($G383,Tb_KostenTypen[],2,0),"tarief"),RIGHT(F383,3)="IKS","Uurtarief",LEFT(F383,6)="Arbeid","Uurtarief",AND(LEFT(F383,8)="Bijdrage",RIGHT(F383,15)="(vrijwilligers)"),"Vast tarief"),"")</f>
        <v/>
      </c>
      <c r="O383" s="90"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0"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1"/>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59"/>
      <c r="Z383" s="49"/>
      <c r="AA383" s="37" t="str" cm="1">
        <f t="array" ref="AA383">IFERROR(IF(INDEX(SubsidieTabel!$Q$1:$T$9,MATCH($F383,SubsidieTabel!$Q$1:$Q$9,0),IFERROR(MATCH(Methode_Keuze,SubsidieTabel!$Q$1:$T$1,0),2))&lt;&gt;1=TRUE,"ja",""),"")</f>
        <v/>
      </c>
    </row>
    <row r="384" spans="1:27" ht="15" customHeight="1" x14ac:dyDescent="0.25">
      <c r="A384" s="85"/>
      <c r="B384" s="217" t="str">
        <f>IF(A384&lt;&gt;"",_xlfn.MAXIFS($B$1:B383,$A$1:A383,A384)+1,"")</f>
        <v/>
      </c>
      <c r="C384" s="50"/>
      <c r="D384" s="50"/>
      <c r="E384" s="50"/>
      <c r="F384" s="50"/>
      <c r="G384" s="280"/>
      <c r="H384" s="293"/>
      <c r="I384" s="292"/>
      <c r="J384" s="292"/>
      <c r="K384" s="200"/>
      <c r="L384" s="200"/>
      <c r="M384" s="89" t="str">
        <f>IFERROR(VLOOKUP(H384,Lijsten!$H$1:$I$100,2,0),"")</f>
        <v/>
      </c>
      <c r="N384" s="89" t="str" cm="1">
        <f t="array" ref="N384">IFERROR(_xlfn.IFS(AND(LEFT(F384,6)="Arbeid",RIGHT(F384,3)&lt;&gt;"IKS"),IFERROR(VLOOKUP($G384,Tb_KostenTypen[],2,0),"tarief"),RIGHT(F384,3)="IKS","Uurtarief",LEFT(F384,6)="Arbeid","Uurtarief",AND(LEFT(F384,8)="Bijdrage",RIGHT(F384,15)="(vrijwilligers)"),"Vast tarief"),"")</f>
        <v/>
      </c>
      <c r="O384" s="90"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0"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1"/>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59"/>
      <c r="Z384" s="49"/>
      <c r="AA384" s="37" t="str" cm="1">
        <f t="array" ref="AA384">IFERROR(IF(INDEX(SubsidieTabel!$Q$1:$T$9,MATCH($F384,SubsidieTabel!$Q$1:$Q$9,0),IFERROR(MATCH(Methode_Keuze,SubsidieTabel!$Q$1:$T$1,0),2))&lt;&gt;1=TRUE,"ja",""),"")</f>
        <v/>
      </c>
    </row>
    <row r="385" spans="1:27" ht="15" customHeight="1" x14ac:dyDescent="0.25">
      <c r="A385" s="85"/>
      <c r="B385" s="217" t="str">
        <f>IF(A385&lt;&gt;"",_xlfn.MAXIFS($B$1:B384,$A$1:A384,A385)+1,"")</f>
        <v/>
      </c>
      <c r="C385" s="50"/>
      <c r="D385" s="50"/>
      <c r="E385" s="50"/>
      <c r="F385" s="50"/>
      <c r="G385" s="280"/>
      <c r="H385" s="293"/>
      <c r="I385" s="292"/>
      <c r="J385" s="292"/>
      <c r="K385" s="200"/>
      <c r="L385" s="200"/>
      <c r="M385" s="89" t="str">
        <f>IFERROR(VLOOKUP(H385,Lijsten!$H$1:$I$100,2,0),"")</f>
        <v/>
      </c>
      <c r="N385" s="89" t="str" cm="1">
        <f t="array" ref="N385">IFERROR(_xlfn.IFS(AND(LEFT(F385,6)="Arbeid",RIGHT(F385,3)&lt;&gt;"IKS"),IFERROR(VLOOKUP($G385,Tb_KostenTypen[],2,0),"tarief"),RIGHT(F385,3)="IKS","Uurtarief",LEFT(F385,6)="Arbeid","Uurtarief",AND(LEFT(F385,8)="Bijdrage",RIGHT(F385,15)="(vrijwilligers)"),"Vast tarief"),"")</f>
        <v/>
      </c>
      <c r="O385" s="90"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0"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1"/>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59"/>
      <c r="Z385" s="49"/>
      <c r="AA385" s="37" t="str" cm="1">
        <f t="array" ref="AA385">IFERROR(IF(INDEX(SubsidieTabel!$Q$1:$T$9,MATCH($F385,SubsidieTabel!$Q$1:$Q$9,0),IFERROR(MATCH(Methode_Keuze,SubsidieTabel!$Q$1:$T$1,0),2))&lt;&gt;1=TRUE,"ja",""),"")</f>
        <v/>
      </c>
    </row>
    <row r="386" spans="1:27" ht="15" customHeight="1" x14ac:dyDescent="0.25">
      <c r="A386" s="85"/>
      <c r="B386" s="217" t="str">
        <f>IF(A386&lt;&gt;"",_xlfn.MAXIFS($B$1:B385,$A$1:A385,A386)+1,"")</f>
        <v/>
      </c>
      <c r="C386" s="50"/>
      <c r="D386" s="50"/>
      <c r="E386" s="50"/>
      <c r="F386" s="50"/>
      <c r="G386" s="280"/>
      <c r="H386" s="293"/>
      <c r="I386" s="292"/>
      <c r="J386" s="292"/>
      <c r="K386" s="200"/>
      <c r="L386" s="200"/>
      <c r="M386" s="89" t="str">
        <f>IFERROR(VLOOKUP(H386,Lijsten!$H$1:$I$100,2,0),"")</f>
        <v/>
      </c>
      <c r="N386" s="89" t="str" cm="1">
        <f t="array" ref="N386">IFERROR(_xlfn.IFS(AND(LEFT(F386,6)="Arbeid",RIGHT(F386,3)&lt;&gt;"IKS"),IFERROR(VLOOKUP($G386,Tb_KostenTypen[],2,0),"tarief"),RIGHT(F386,3)="IKS","Uurtarief",LEFT(F386,6)="Arbeid","Uurtarief",AND(LEFT(F386,8)="Bijdrage",RIGHT(F386,15)="(vrijwilligers)"),"Vast tarief"),"")</f>
        <v/>
      </c>
      <c r="O386" s="90"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0"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1"/>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59"/>
      <c r="Z386" s="49"/>
      <c r="AA386" s="37" t="str" cm="1">
        <f t="array" ref="AA386">IFERROR(IF(INDEX(SubsidieTabel!$Q$1:$T$9,MATCH($F386,SubsidieTabel!$Q$1:$Q$9,0),IFERROR(MATCH(Methode_Keuze,SubsidieTabel!$Q$1:$T$1,0),2))&lt;&gt;1=TRUE,"ja",""),"")</f>
        <v/>
      </c>
    </row>
    <row r="387" spans="1:27" ht="15" customHeight="1" x14ac:dyDescent="0.25">
      <c r="A387" s="85"/>
      <c r="B387" s="217" t="str">
        <f>IF(A387&lt;&gt;"",_xlfn.MAXIFS($B$1:B386,$A$1:A386,A387)+1,"")</f>
        <v/>
      </c>
      <c r="C387" s="50"/>
      <c r="D387" s="50"/>
      <c r="E387" s="50"/>
      <c r="F387" s="50"/>
      <c r="G387" s="280"/>
      <c r="H387" s="293"/>
      <c r="I387" s="292"/>
      <c r="J387" s="292"/>
      <c r="K387" s="200"/>
      <c r="L387" s="200"/>
      <c r="M387" s="89" t="str">
        <f>IFERROR(VLOOKUP(H387,Lijsten!$H$1:$I$100,2,0),"")</f>
        <v/>
      </c>
      <c r="N387" s="89" t="str" cm="1">
        <f t="array" ref="N387">IFERROR(_xlfn.IFS(AND(LEFT(F387,6)="Arbeid",RIGHT(F387,3)&lt;&gt;"IKS"),IFERROR(VLOOKUP($G387,Tb_KostenTypen[],2,0),"tarief"),RIGHT(F387,3)="IKS","Uurtarief",LEFT(F387,6)="Arbeid","Uurtarief",AND(LEFT(F387,8)="Bijdrage",RIGHT(F387,15)="(vrijwilligers)"),"Vast tarief"),"")</f>
        <v/>
      </c>
      <c r="O387" s="90"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0"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1"/>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59"/>
      <c r="Z387" s="49"/>
      <c r="AA387" s="37" t="str" cm="1">
        <f t="array" ref="AA387">IFERROR(IF(INDEX(SubsidieTabel!$Q$1:$T$9,MATCH($F387,SubsidieTabel!$Q$1:$Q$9,0),IFERROR(MATCH(Methode_Keuze,SubsidieTabel!$Q$1:$T$1,0),2))&lt;&gt;1=TRUE,"ja",""),"")</f>
        <v/>
      </c>
    </row>
    <row r="388" spans="1:27" ht="15" customHeight="1" x14ac:dyDescent="0.25">
      <c r="A388" s="85"/>
      <c r="B388" s="217" t="str">
        <f>IF(A388&lt;&gt;"",_xlfn.MAXIFS($B$1:B387,$A$1:A387,A388)+1,"")</f>
        <v/>
      </c>
      <c r="C388" s="50"/>
      <c r="D388" s="50"/>
      <c r="E388" s="50"/>
      <c r="F388" s="50"/>
      <c r="G388" s="280"/>
      <c r="H388" s="293"/>
      <c r="I388" s="292"/>
      <c r="J388" s="292"/>
      <c r="K388" s="200"/>
      <c r="L388" s="200"/>
      <c r="M388" s="89" t="str">
        <f>IFERROR(VLOOKUP(H388,Lijsten!$H$1:$I$100,2,0),"")</f>
        <v/>
      </c>
      <c r="N388" s="89" t="str" cm="1">
        <f t="array" ref="N388">IFERROR(_xlfn.IFS(AND(LEFT(F388,6)="Arbeid",RIGHT(F388,3)&lt;&gt;"IKS"),IFERROR(VLOOKUP($G388,Tb_KostenTypen[],2,0),"tarief"),RIGHT(F388,3)="IKS","Uurtarief",LEFT(F388,6)="Arbeid","Uurtarief",AND(LEFT(F388,8)="Bijdrage",RIGHT(F388,15)="(vrijwilligers)"),"Vast tarief"),"")</f>
        <v/>
      </c>
      <c r="O388" s="90"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0"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1"/>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59"/>
      <c r="Z388" s="49"/>
      <c r="AA388" s="37" t="str" cm="1">
        <f t="array" ref="AA388">IFERROR(IF(INDEX(SubsidieTabel!$Q$1:$T$9,MATCH($F388,SubsidieTabel!$Q$1:$Q$9,0),IFERROR(MATCH(Methode_Keuze,SubsidieTabel!$Q$1:$T$1,0),2))&lt;&gt;1=TRUE,"ja",""),"")</f>
        <v/>
      </c>
    </row>
    <row r="389" spans="1:27" ht="15" customHeight="1" x14ac:dyDescent="0.25">
      <c r="A389" s="85"/>
      <c r="B389" s="217" t="str">
        <f>IF(A389&lt;&gt;"",_xlfn.MAXIFS($B$1:B388,$A$1:A388,A389)+1,"")</f>
        <v/>
      </c>
      <c r="C389" s="50"/>
      <c r="D389" s="50"/>
      <c r="E389" s="50"/>
      <c r="F389" s="50"/>
      <c r="G389" s="280"/>
      <c r="H389" s="293"/>
      <c r="I389" s="292"/>
      <c r="J389" s="292"/>
      <c r="K389" s="200"/>
      <c r="L389" s="200"/>
      <c r="M389" s="89" t="str">
        <f>IFERROR(VLOOKUP(H389,Lijsten!$H$1:$I$100,2,0),"")</f>
        <v/>
      </c>
      <c r="N389" s="89" t="str" cm="1">
        <f t="array" ref="N389">IFERROR(_xlfn.IFS(AND(LEFT(F389,6)="Arbeid",RIGHT(F389,3)&lt;&gt;"IKS"),IFERROR(VLOOKUP($G389,Tb_KostenTypen[],2,0),"tarief"),RIGHT(F389,3)="IKS","Uurtarief",LEFT(F389,6)="Arbeid","Uurtarief",AND(LEFT(F389,8)="Bijdrage",RIGHT(F389,15)="(vrijwilligers)"),"Vast tarief"),"")</f>
        <v/>
      </c>
      <c r="O389" s="90"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0"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1"/>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59"/>
      <c r="Z389" s="49"/>
      <c r="AA389" s="37" t="str" cm="1">
        <f t="array" ref="AA389">IFERROR(IF(INDEX(SubsidieTabel!$Q$1:$T$9,MATCH($F389,SubsidieTabel!$Q$1:$Q$9,0),IFERROR(MATCH(Methode_Keuze,SubsidieTabel!$Q$1:$T$1,0),2))&lt;&gt;1=TRUE,"ja",""),"")</f>
        <v/>
      </c>
    </row>
    <row r="390" spans="1:27" ht="15" customHeight="1" x14ac:dyDescent="0.25">
      <c r="A390" s="85"/>
      <c r="B390" s="217" t="str">
        <f>IF(A390&lt;&gt;"",_xlfn.MAXIFS($B$1:B389,$A$1:A389,A390)+1,"")</f>
        <v/>
      </c>
      <c r="C390" s="50"/>
      <c r="D390" s="50"/>
      <c r="E390" s="50"/>
      <c r="F390" s="50"/>
      <c r="G390" s="280"/>
      <c r="H390" s="293"/>
      <c r="I390" s="292"/>
      <c r="J390" s="292"/>
      <c r="K390" s="200"/>
      <c r="L390" s="200"/>
      <c r="M390" s="89" t="str">
        <f>IFERROR(VLOOKUP(H390,Lijsten!$H$1:$I$100,2,0),"")</f>
        <v/>
      </c>
      <c r="N390" s="89" t="str" cm="1">
        <f t="array" ref="N390">IFERROR(_xlfn.IFS(AND(LEFT(F390,6)="Arbeid",RIGHT(F390,3)&lt;&gt;"IKS"),IFERROR(VLOOKUP($G390,Tb_KostenTypen[],2,0),"tarief"),RIGHT(F390,3)="IKS","Uurtarief",LEFT(F390,6)="Arbeid","Uurtarief",AND(LEFT(F390,8)="Bijdrage",RIGHT(F390,15)="(vrijwilligers)"),"Vast tarief"),"")</f>
        <v/>
      </c>
      <c r="O390" s="90"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0"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1"/>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59"/>
      <c r="Z390" s="49"/>
      <c r="AA390" s="37" t="str" cm="1">
        <f t="array" ref="AA390">IFERROR(IF(INDEX(SubsidieTabel!$Q$1:$T$9,MATCH($F390,SubsidieTabel!$Q$1:$Q$9,0),IFERROR(MATCH(Methode_Keuze,SubsidieTabel!$Q$1:$T$1,0),2))&lt;&gt;1=TRUE,"ja",""),"")</f>
        <v/>
      </c>
    </row>
    <row r="391" spans="1:27" ht="15" customHeight="1" x14ac:dyDescent="0.25">
      <c r="A391" s="85"/>
      <c r="B391" s="217" t="str">
        <f>IF(A391&lt;&gt;"",_xlfn.MAXIFS($B$1:B390,$A$1:A390,A391)+1,"")</f>
        <v/>
      </c>
      <c r="C391" s="50"/>
      <c r="D391" s="50"/>
      <c r="E391" s="50"/>
      <c r="F391" s="50"/>
      <c r="G391" s="280"/>
      <c r="H391" s="293"/>
      <c r="I391" s="292"/>
      <c r="J391" s="292"/>
      <c r="K391" s="200"/>
      <c r="L391" s="200"/>
      <c r="M391" s="89" t="str">
        <f>IFERROR(VLOOKUP(H391,Lijsten!$H$1:$I$100,2,0),"")</f>
        <v/>
      </c>
      <c r="N391" s="89" t="str" cm="1">
        <f t="array" ref="N391">IFERROR(_xlfn.IFS(AND(LEFT(F391,6)="Arbeid",RIGHT(F391,3)&lt;&gt;"IKS"),IFERROR(VLOOKUP($G391,Tb_KostenTypen[],2,0),"tarief"),RIGHT(F391,3)="IKS","Uurtarief",LEFT(F391,6)="Arbeid","Uurtarief",AND(LEFT(F391,8)="Bijdrage",RIGHT(F391,15)="(vrijwilligers)"),"Vast tarief"),"")</f>
        <v/>
      </c>
      <c r="O391" s="90"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0"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1"/>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59"/>
      <c r="Z391" s="49"/>
      <c r="AA391" s="37" t="str" cm="1">
        <f t="array" ref="AA391">IFERROR(IF(INDEX(SubsidieTabel!$Q$1:$T$9,MATCH($F391,SubsidieTabel!$Q$1:$Q$9,0),IFERROR(MATCH(Methode_Keuze,SubsidieTabel!$Q$1:$T$1,0),2))&lt;&gt;1=TRUE,"ja",""),"")</f>
        <v/>
      </c>
    </row>
    <row r="392" spans="1:27" ht="15" customHeight="1" x14ac:dyDescent="0.25">
      <c r="A392" s="85"/>
      <c r="B392" s="217" t="str">
        <f>IF(A392&lt;&gt;"",_xlfn.MAXIFS($B$1:B391,$A$1:A391,A392)+1,"")</f>
        <v/>
      </c>
      <c r="C392" s="50"/>
      <c r="D392" s="50"/>
      <c r="E392" s="50"/>
      <c r="F392" s="50"/>
      <c r="G392" s="280"/>
      <c r="H392" s="293"/>
      <c r="I392" s="292"/>
      <c r="J392" s="292"/>
      <c r="K392" s="200"/>
      <c r="L392" s="200"/>
      <c r="M392" s="89" t="str">
        <f>IFERROR(VLOOKUP(H392,Lijsten!$H$1:$I$100,2,0),"")</f>
        <v/>
      </c>
      <c r="N392" s="89" t="str" cm="1">
        <f t="array" ref="N392">IFERROR(_xlfn.IFS(AND(LEFT(F392,6)="Arbeid",RIGHT(F392,3)&lt;&gt;"IKS"),IFERROR(VLOOKUP($G392,Tb_KostenTypen[],2,0),"tarief"),RIGHT(F392,3)="IKS","Uurtarief",LEFT(F392,6)="Arbeid","Uurtarief",AND(LEFT(F392,8)="Bijdrage",RIGHT(F392,15)="(vrijwilligers)"),"Vast tarief"),"")</f>
        <v/>
      </c>
      <c r="O392" s="90"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0"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1"/>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59"/>
      <c r="Z392" s="49"/>
      <c r="AA392" s="37" t="str" cm="1">
        <f t="array" ref="AA392">IFERROR(IF(INDEX(SubsidieTabel!$Q$1:$T$9,MATCH($F392,SubsidieTabel!$Q$1:$Q$9,0),IFERROR(MATCH(Methode_Keuze,SubsidieTabel!$Q$1:$T$1,0),2))&lt;&gt;1=TRUE,"ja",""),"")</f>
        <v/>
      </c>
    </row>
    <row r="393" spans="1:27" ht="15" customHeight="1" x14ac:dyDescent="0.25">
      <c r="A393" s="85"/>
      <c r="B393" s="217" t="str">
        <f>IF(A393&lt;&gt;"",_xlfn.MAXIFS($B$1:B392,$A$1:A392,A393)+1,"")</f>
        <v/>
      </c>
      <c r="C393" s="50"/>
      <c r="D393" s="50"/>
      <c r="E393" s="50"/>
      <c r="F393" s="50"/>
      <c r="G393" s="280"/>
      <c r="H393" s="293"/>
      <c r="I393" s="292"/>
      <c r="J393" s="292"/>
      <c r="K393" s="200"/>
      <c r="L393" s="200"/>
      <c r="M393" s="89" t="str">
        <f>IFERROR(VLOOKUP(H393,Lijsten!$H$1:$I$100,2,0),"")</f>
        <v/>
      </c>
      <c r="N393" s="89" t="str" cm="1">
        <f t="array" ref="N393">IFERROR(_xlfn.IFS(AND(LEFT(F393,6)="Arbeid",RIGHT(F393,3)&lt;&gt;"IKS"),IFERROR(VLOOKUP($G393,Tb_KostenTypen[],2,0),"tarief"),RIGHT(F393,3)="IKS","Uurtarief",LEFT(F393,6)="Arbeid","Uurtarief",AND(LEFT(F393,8)="Bijdrage",RIGHT(F393,15)="(vrijwilligers)"),"Vast tarief"),"")</f>
        <v/>
      </c>
      <c r="O393" s="90"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0"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1"/>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59"/>
      <c r="Z393" s="49"/>
      <c r="AA393" s="37" t="str" cm="1">
        <f t="array" ref="AA393">IFERROR(IF(INDEX(SubsidieTabel!$Q$1:$T$9,MATCH($F393,SubsidieTabel!$Q$1:$Q$9,0),IFERROR(MATCH(Methode_Keuze,SubsidieTabel!$Q$1:$T$1,0),2))&lt;&gt;1=TRUE,"ja",""),"")</f>
        <v/>
      </c>
    </row>
    <row r="394" spans="1:27" ht="15" customHeight="1" x14ac:dyDescent="0.25">
      <c r="A394" s="85"/>
      <c r="B394" s="217" t="str">
        <f>IF(A394&lt;&gt;"",_xlfn.MAXIFS($B$1:B393,$A$1:A393,A394)+1,"")</f>
        <v/>
      </c>
      <c r="C394" s="50"/>
      <c r="D394" s="50"/>
      <c r="E394" s="50"/>
      <c r="F394" s="50"/>
      <c r="G394" s="280"/>
      <c r="H394" s="293"/>
      <c r="I394" s="292"/>
      <c r="J394" s="292"/>
      <c r="K394" s="200"/>
      <c r="L394" s="200"/>
      <c r="M394" s="89" t="str">
        <f>IFERROR(VLOOKUP(H394,Lijsten!$H$1:$I$100,2,0),"")</f>
        <v/>
      </c>
      <c r="N394" s="89" t="str" cm="1">
        <f t="array" ref="N394">IFERROR(_xlfn.IFS(AND(LEFT(F394,6)="Arbeid",RIGHT(F394,3)&lt;&gt;"IKS"),IFERROR(VLOOKUP($G394,Tb_KostenTypen[],2,0),"tarief"),RIGHT(F394,3)="IKS","Uurtarief",LEFT(F394,6)="Arbeid","Uurtarief",AND(LEFT(F394,8)="Bijdrage",RIGHT(F394,15)="(vrijwilligers)"),"Vast tarief"),"")</f>
        <v/>
      </c>
      <c r="O394" s="90"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0"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1"/>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59"/>
      <c r="Z394" s="49"/>
      <c r="AA394" s="37" t="str" cm="1">
        <f t="array" ref="AA394">IFERROR(IF(INDEX(SubsidieTabel!$Q$1:$T$9,MATCH($F394,SubsidieTabel!$Q$1:$Q$9,0),IFERROR(MATCH(Methode_Keuze,SubsidieTabel!$Q$1:$T$1,0),2))&lt;&gt;1=TRUE,"ja",""),"")</f>
        <v/>
      </c>
    </row>
    <row r="395" spans="1:27" ht="15" customHeight="1" x14ac:dyDescent="0.25">
      <c r="A395" s="85"/>
      <c r="B395" s="217" t="str">
        <f>IF(A395&lt;&gt;"",_xlfn.MAXIFS($B$1:B394,$A$1:A394,A395)+1,"")</f>
        <v/>
      </c>
      <c r="C395" s="50"/>
      <c r="D395" s="50"/>
      <c r="E395" s="50"/>
      <c r="F395" s="50"/>
      <c r="G395" s="280"/>
      <c r="H395" s="293"/>
      <c r="I395" s="292"/>
      <c r="J395" s="292"/>
      <c r="K395" s="200"/>
      <c r="L395" s="200"/>
      <c r="M395" s="89" t="str">
        <f>IFERROR(VLOOKUP(H395,Lijsten!$H$1:$I$100,2,0),"")</f>
        <v/>
      </c>
      <c r="N395" s="89" t="str" cm="1">
        <f t="array" ref="N395">IFERROR(_xlfn.IFS(AND(LEFT(F395,6)="Arbeid",RIGHT(F395,3)&lt;&gt;"IKS"),IFERROR(VLOOKUP($G395,Tb_KostenTypen[],2,0),"tarief"),RIGHT(F395,3)="IKS","Uurtarief",LEFT(F395,6)="Arbeid","Uurtarief",AND(LEFT(F395,8)="Bijdrage",RIGHT(F395,15)="(vrijwilligers)"),"Vast tarief"),"")</f>
        <v/>
      </c>
      <c r="O395" s="90"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0"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1"/>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59"/>
      <c r="Z395" s="49"/>
      <c r="AA395" s="37" t="str" cm="1">
        <f t="array" ref="AA395">IFERROR(IF(INDEX(SubsidieTabel!$Q$1:$T$9,MATCH($F395,SubsidieTabel!$Q$1:$Q$9,0),IFERROR(MATCH(Methode_Keuze,SubsidieTabel!$Q$1:$T$1,0),2))&lt;&gt;1=TRUE,"ja",""),"")</f>
        <v/>
      </c>
    </row>
    <row r="396" spans="1:27" ht="15" customHeight="1" x14ac:dyDescent="0.25">
      <c r="A396" s="85"/>
      <c r="B396" s="217" t="str">
        <f>IF(A396&lt;&gt;"",_xlfn.MAXIFS($B$1:B395,$A$1:A395,A396)+1,"")</f>
        <v/>
      </c>
      <c r="C396" s="50"/>
      <c r="D396" s="50"/>
      <c r="E396" s="50"/>
      <c r="F396" s="50"/>
      <c r="G396" s="280"/>
      <c r="H396" s="293"/>
      <c r="I396" s="292"/>
      <c r="J396" s="292"/>
      <c r="K396" s="200"/>
      <c r="L396" s="200"/>
      <c r="M396" s="89" t="str">
        <f>IFERROR(VLOOKUP(H396,Lijsten!$H$1:$I$100,2,0),"")</f>
        <v/>
      </c>
      <c r="N396" s="89" t="str" cm="1">
        <f t="array" ref="N396">IFERROR(_xlfn.IFS(AND(LEFT(F396,6)="Arbeid",RIGHT(F396,3)&lt;&gt;"IKS"),IFERROR(VLOOKUP($G396,Tb_KostenTypen[],2,0),"tarief"),RIGHT(F396,3)="IKS","Uurtarief",LEFT(F396,6)="Arbeid","Uurtarief",AND(LEFT(F396,8)="Bijdrage",RIGHT(F396,15)="(vrijwilligers)"),"Vast tarief"),"")</f>
        <v/>
      </c>
      <c r="O396" s="90"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0"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1"/>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59"/>
      <c r="Z396" s="49"/>
      <c r="AA396" s="37" t="str" cm="1">
        <f t="array" ref="AA396">IFERROR(IF(INDEX(SubsidieTabel!$Q$1:$T$9,MATCH($F396,SubsidieTabel!$Q$1:$Q$9,0),IFERROR(MATCH(Methode_Keuze,SubsidieTabel!$Q$1:$T$1,0),2))&lt;&gt;1=TRUE,"ja",""),"")</f>
        <v/>
      </c>
    </row>
    <row r="397" spans="1:27" ht="15" customHeight="1" x14ac:dyDescent="0.25">
      <c r="A397" s="85"/>
      <c r="B397" s="217" t="str">
        <f>IF(A397&lt;&gt;"",_xlfn.MAXIFS($B$1:B396,$A$1:A396,A397)+1,"")</f>
        <v/>
      </c>
      <c r="C397" s="50"/>
      <c r="D397" s="50"/>
      <c r="E397" s="50"/>
      <c r="F397" s="50"/>
      <c r="G397" s="280"/>
      <c r="H397" s="293"/>
      <c r="I397" s="292"/>
      <c r="J397" s="292"/>
      <c r="K397" s="200"/>
      <c r="L397" s="200"/>
      <c r="M397" s="89" t="str">
        <f>IFERROR(VLOOKUP(H397,Lijsten!$H$1:$I$100,2,0),"")</f>
        <v/>
      </c>
      <c r="N397" s="89" t="str" cm="1">
        <f t="array" ref="N397">IFERROR(_xlfn.IFS(AND(LEFT(F397,6)="Arbeid",RIGHT(F397,3)&lt;&gt;"IKS"),IFERROR(VLOOKUP($G397,Tb_KostenTypen[],2,0),"tarief"),RIGHT(F397,3)="IKS","Uurtarief",LEFT(F397,6)="Arbeid","Uurtarief",AND(LEFT(F397,8)="Bijdrage",RIGHT(F397,15)="(vrijwilligers)"),"Vast tarief"),"")</f>
        <v/>
      </c>
      <c r="O397" s="90"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0"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1"/>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59"/>
      <c r="Z397" s="49"/>
      <c r="AA397" s="37" t="str" cm="1">
        <f t="array" ref="AA397">IFERROR(IF(INDEX(SubsidieTabel!$Q$1:$T$9,MATCH($F397,SubsidieTabel!$Q$1:$Q$9,0),IFERROR(MATCH(Methode_Keuze,SubsidieTabel!$Q$1:$T$1,0),2))&lt;&gt;1=TRUE,"ja",""),"")</f>
        <v/>
      </c>
    </row>
    <row r="398" spans="1:27" ht="15" customHeight="1" x14ac:dyDescent="0.25">
      <c r="A398" s="85"/>
      <c r="B398" s="217" t="str">
        <f>IF(A398&lt;&gt;"",_xlfn.MAXIFS($B$1:B397,$A$1:A397,A398)+1,"")</f>
        <v/>
      </c>
      <c r="C398" s="50"/>
      <c r="D398" s="50"/>
      <c r="E398" s="50"/>
      <c r="F398" s="50"/>
      <c r="G398" s="280"/>
      <c r="H398" s="293"/>
      <c r="I398" s="292"/>
      <c r="J398" s="292"/>
      <c r="K398" s="200"/>
      <c r="L398" s="200"/>
      <c r="M398" s="89" t="str">
        <f>IFERROR(VLOOKUP(H398,Lijsten!$H$1:$I$100,2,0),"")</f>
        <v/>
      </c>
      <c r="N398" s="89" t="str" cm="1">
        <f t="array" ref="N398">IFERROR(_xlfn.IFS(AND(LEFT(F398,6)="Arbeid",RIGHT(F398,3)&lt;&gt;"IKS"),IFERROR(VLOOKUP($G398,Tb_KostenTypen[],2,0),"tarief"),RIGHT(F398,3)="IKS","Uurtarief",LEFT(F398,6)="Arbeid","Uurtarief",AND(LEFT(F398,8)="Bijdrage",RIGHT(F398,15)="(vrijwilligers)"),"Vast tarief"),"")</f>
        <v/>
      </c>
      <c r="O398" s="90"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0"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1"/>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59"/>
      <c r="Z398" s="49"/>
      <c r="AA398" s="37" t="str" cm="1">
        <f t="array" ref="AA398">IFERROR(IF(INDEX(SubsidieTabel!$Q$1:$T$9,MATCH($F398,SubsidieTabel!$Q$1:$Q$9,0),IFERROR(MATCH(Methode_Keuze,SubsidieTabel!$Q$1:$T$1,0),2))&lt;&gt;1=TRUE,"ja",""),"")</f>
        <v/>
      </c>
    </row>
    <row r="399" spans="1:27" ht="15" customHeight="1" x14ac:dyDescent="0.25">
      <c r="A399" s="85"/>
      <c r="B399" s="217" t="str">
        <f>IF(A399&lt;&gt;"",_xlfn.MAXIFS($B$1:B398,$A$1:A398,A399)+1,"")</f>
        <v/>
      </c>
      <c r="C399" s="50"/>
      <c r="D399" s="50"/>
      <c r="E399" s="50"/>
      <c r="F399" s="50"/>
      <c r="G399" s="280"/>
      <c r="H399" s="293"/>
      <c r="I399" s="292"/>
      <c r="J399" s="292"/>
      <c r="K399" s="200"/>
      <c r="L399" s="200"/>
      <c r="M399" s="89" t="str">
        <f>IFERROR(VLOOKUP(H399,Lijsten!$H$1:$I$100,2,0),"")</f>
        <v/>
      </c>
      <c r="N399" s="89" t="str" cm="1">
        <f t="array" ref="N399">IFERROR(_xlfn.IFS(AND(LEFT(F399,6)="Arbeid",RIGHT(F399,3)&lt;&gt;"IKS"),IFERROR(VLOOKUP($G399,Tb_KostenTypen[],2,0),"tarief"),RIGHT(F399,3)="IKS","Uurtarief",LEFT(F399,6)="Arbeid","Uurtarief",AND(LEFT(F399,8)="Bijdrage",RIGHT(F399,15)="(vrijwilligers)"),"Vast tarief"),"")</f>
        <v/>
      </c>
      <c r="O399" s="90"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0"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1"/>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59"/>
      <c r="Z399" s="49"/>
      <c r="AA399" s="37" t="str" cm="1">
        <f t="array" ref="AA399">IFERROR(IF(INDEX(SubsidieTabel!$Q$1:$T$9,MATCH($F399,SubsidieTabel!$Q$1:$Q$9,0),IFERROR(MATCH(Methode_Keuze,SubsidieTabel!$Q$1:$T$1,0),2))&lt;&gt;1=TRUE,"ja",""),"")</f>
        <v/>
      </c>
    </row>
    <row r="400" spans="1:27" ht="15" customHeight="1" x14ac:dyDescent="0.25">
      <c r="A400" s="85"/>
      <c r="B400" s="217" t="str">
        <f>IF(A400&lt;&gt;"",_xlfn.MAXIFS($B$1:B399,$A$1:A399,A400)+1,"")</f>
        <v/>
      </c>
      <c r="C400" s="50"/>
      <c r="D400" s="50"/>
      <c r="E400" s="50"/>
      <c r="F400" s="50"/>
      <c r="G400" s="280"/>
      <c r="H400" s="293"/>
      <c r="I400" s="292"/>
      <c r="J400" s="292"/>
      <c r="K400" s="200"/>
      <c r="L400" s="200"/>
      <c r="M400" s="89" t="str">
        <f>IFERROR(VLOOKUP(H400,Lijsten!$H$1:$I$100,2,0),"")</f>
        <v/>
      </c>
      <c r="N400" s="89" t="str" cm="1">
        <f t="array" ref="N400">IFERROR(_xlfn.IFS(AND(LEFT(F400,6)="Arbeid",RIGHT(F400,3)&lt;&gt;"IKS"),IFERROR(VLOOKUP($G400,Tb_KostenTypen[],2,0),"tarief"),RIGHT(F400,3)="IKS","Uurtarief",LEFT(F400,6)="Arbeid","Uurtarief",AND(LEFT(F400,8)="Bijdrage",RIGHT(F400,15)="(vrijwilligers)"),"Vast tarief"),"")</f>
        <v/>
      </c>
      <c r="O400" s="90"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0"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1"/>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59"/>
      <c r="Z400" s="49"/>
      <c r="AA400" s="37" t="str" cm="1">
        <f t="array" ref="AA400">IFERROR(IF(INDEX(SubsidieTabel!$Q$1:$T$9,MATCH($F400,SubsidieTabel!$Q$1:$Q$9,0),IFERROR(MATCH(Methode_Keuze,SubsidieTabel!$Q$1:$T$1,0),2))&lt;&gt;1=TRUE,"ja",""),"")</f>
        <v/>
      </c>
    </row>
    <row r="401" spans="1:27" ht="15" customHeight="1" x14ac:dyDescent="0.25">
      <c r="A401" s="85"/>
      <c r="B401" s="217" t="str">
        <f>IF(A401&lt;&gt;"",_xlfn.MAXIFS($B$1:B400,$A$1:A400,A401)+1,"")</f>
        <v/>
      </c>
      <c r="C401" s="50"/>
      <c r="D401" s="50"/>
      <c r="E401" s="50"/>
      <c r="F401" s="50"/>
      <c r="G401" s="280"/>
      <c r="H401" s="293"/>
      <c r="I401" s="292"/>
      <c r="J401" s="292"/>
      <c r="K401" s="200"/>
      <c r="L401" s="200"/>
      <c r="M401" s="89" t="str">
        <f>IFERROR(VLOOKUP(H401,Lijsten!$H$1:$I$100,2,0),"")</f>
        <v/>
      </c>
      <c r="N401" s="89" t="str" cm="1">
        <f t="array" ref="N401">IFERROR(_xlfn.IFS(AND(LEFT(F401,6)="Arbeid",RIGHT(F401,3)&lt;&gt;"IKS"),IFERROR(VLOOKUP($G401,Tb_KostenTypen[],2,0),"tarief"),RIGHT(F401,3)="IKS","Uurtarief",LEFT(F401,6)="Arbeid","Uurtarief",AND(LEFT(F401,8)="Bijdrage",RIGHT(F401,15)="(vrijwilligers)"),"Vast tarief"),"")</f>
        <v/>
      </c>
      <c r="O401" s="90"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0"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1"/>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59"/>
      <c r="Z401" s="49"/>
      <c r="AA401" s="37" t="str" cm="1">
        <f t="array" ref="AA401">IFERROR(IF(INDEX(SubsidieTabel!$Q$1:$T$9,MATCH($F401,SubsidieTabel!$Q$1:$Q$9,0),IFERROR(MATCH(Methode_Keuze,SubsidieTabel!$Q$1:$T$1,0),2))&lt;&gt;1=TRUE,"ja",""),"")</f>
        <v/>
      </c>
    </row>
    <row r="402" spans="1:27" ht="15" customHeight="1" x14ac:dyDescent="0.25">
      <c r="A402" s="85"/>
      <c r="B402" s="217" t="str">
        <f>IF(A402&lt;&gt;"",_xlfn.MAXIFS($B$1:B401,$A$1:A401,A402)+1,"")</f>
        <v/>
      </c>
      <c r="C402" s="50"/>
      <c r="D402" s="50"/>
      <c r="E402" s="50"/>
      <c r="F402" s="50"/>
      <c r="G402" s="280"/>
      <c r="H402" s="293"/>
      <c r="I402" s="292"/>
      <c r="J402" s="292"/>
      <c r="K402" s="200"/>
      <c r="L402" s="200"/>
      <c r="M402" s="89" t="str">
        <f>IFERROR(VLOOKUP(H402,Lijsten!$H$1:$I$100,2,0),"")</f>
        <v/>
      </c>
      <c r="N402" s="89" t="str" cm="1">
        <f t="array" ref="N402">IFERROR(_xlfn.IFS(AND(LEFT(F402,6)="Arbeid",RIGHT(F402,3)&lt;&gt;"IKS"),IFERROR(VLOOKUP($G402,Tb_KostenTypen[],2,0),"tarief"),RIGHT(F402,3)="IKS","Uurtarief",LEFT(F402,6)="Arbeid","Uurtarief",AND(LEFT(F402,8)="Bijdrage",RIGHT(F402,15)="(vrijwilligers)"),"Vast tarief"),"")</f>
        <v/>
      </c>
      <c r="O402" s="90"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0"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1"/>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59"/>
      <c r="Z402" s="49"/>
      <c r="AA402" s="37" t="str" cm="1">
        <f t="array" ref="AA402">IFERROR(IF(INDEX(SubsidieTabel!$Q$1:$T$9,MATCH($F402,SubsidieTabel!$Q$1:$Q$9,0),IFERROR(MATCH(Methode_Keuze,SubsidieTabel!$Q$1:$T$1,0),2))&lt;&gt;1=TRUE,"ja",""),"")</f>
        <v/>
      </c>
    </row>
    <row r="403" spans="1:27" ht="15" customHeight="1" x14ac:dyDescent="0.25">
      <c r="A403" s="85"/>
      <c r="B403" s="217" t="str">
        <f>IF(A403&lt;&gt;"",_xlfn.MAXIFS($B$1:B402,$A$1:A402,A403)+1,"")</f>
        <v/>
      </c>
      <c r="C403" s="50"/>
      <c r="D403" s="50"/>
      <c r="E403" s="50"/>
      <c r="F403" s="50"/>
      <c r="G403" s="280"/>
      <c r="H403" s="293"/>
      <c r="I403" s="292"/>
      <c r="J403" s="292"/>
      <c r="K403" s="200"/>
      <c r="L403" s="200"/>
      <c r="M403" s="89" t="str">
        <f>IFERROR(VLOOKUP(H403,Lijsten!$H$1:$I$100,2,0),"")</f>
        <v/>
      </c>
      <c r="N403" s="89" t="str" cm="1">
        <f t="array" ref="N403">IFERROR(_xlfn.IFS(AND(LEFT(F403,6)="Arbeid",RIGHT(F403,3)&lt;&gt;"IKS"),IFERROR(VLOOKUP($G403,Tb_KostenTypen[],2,0),"tarief"),RIGHT(F403,3)="IKS","Uurtarief",LEFT(F403,6)="Arbeid","Uurtarief",AND(LEFT(F403,8)="Bijdrage",RIGHT(F403,15)="(vrijwilligers)"),"Vast tarief"),"")</f>
        <v/>
      </c>
      <c r="O403" s="90"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0"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1"/>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59"/>
      <c r="Z403" s="49"/>
      <c r="AA403" s="37" t="str" cm="1">
        <f t="array" ref="AA403">IFERROR(IF(INDEX(SubsidieTabel!$Q$1:$T$9,MATCH($F403,SubsidieTabel!$Q$1:$Q$9,0),IFERROR(MATCH(Methode_Keuze,SubsidieTabel!$Q$1:$T$1,0),2))&lt;&gt;1=TRUE,"ja",""),"")</f>
        <v/>
      </c>
    </row>
    <row r="404" spans="1:27" ht="15" customHeight="1" x14ac:dyDescent="0.25">
      <c r="A404" s="85"/>
      <c r="B404" s="217" t="str">
        <f>IF(A404&lt;&gt;"",_xlfn.MAXIFS($B$1:B403,$A$1:A403,A404)+1,"")</f>
        <v/>
      </c>
      <c r="C404" s="50"/>
      <c r="D404" s="50"/>
      <c r="E404" s="50"/>
      <c r="F404" s="50"/>
      <c r="G404" s="280"/>
      <c r="H404" s="293"/>
      <c r="I404" s="292"/>
      <c r="J404" s="292"/>
      <c r="K404" s="200"/>
      <c r="L404" s="200"/>
      <c r="M404" s="89" t="str">
        <f>IFERROR(VLOOKUP(H404,Lijsten!$H$1:$I$100,2,0),"")</f>
        <v/>
      </c>
      <c r="N404" s="89" t="str" cm="1">
        <f t="array" ref="N404">IFERROR(_xlfn.IFS(AND(LEFT(F404,6)="Arbeid",RIGHT(F404,3)&lt;&gt;"IKS"),IFERROR(VLOOKUP($G404,Tb_KostenTypen[],2,0),"tarief"),RIGHT(F404,3)="IKS","Uurtarief",LEFT(F404,6)="Arbeid","Uurtarief",AND(LEFT(F404,8)="Bijdrage",RIGHT(F404,15)="(vrijwilligers)"),"Vast tarief"),"")</f>
        <v/>
      </c>
      <c r="O404" s="90"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0"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1"/>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59"/>
      <c r="Z404" s="49"/>
      <c r="AA404" s="37" t="str" cm="1">
        <f t="array" ref="AA404">IFERROR(IF(INDEX(SubsidieTabel!$Q$1:$T$9,MATCH($F404,SubsidieTabel!$Q$1:$Q$9,0),IFERROR(MATCH(Methode_Keuze,SubsidieTabel!$Q$1:$T$1,0),2))&lt;&gt;1=TRUE,"ja",""),"")</f>
        <v/>
      </c>
    </row>
    <row r="405" spans="1:27" ht="15" customHeight="1" x14ac:dyDescent="0.25">
      <c r="A405" s="85"/>
      <c r="B405" s="217" t="str">
        <f>IF(A405&lt;&gt;"",_xlfn.MAXIFS($B$1:B404,$A$1:A404,A405)+1,"")</f>
        <v/>
      </c>
      <c r="C405" s="50"/>
      <c r="D405" s="50"/>
      <c r="E405" s="50"/>
      <c r="F405" s="50"/>
      <c r="G405" s="280"/>
      <c r="H405" s="293"/>
      <c r="I405" s="292"/>
      <c r="J405" s="292"/>
      <c r="K405" s="200"/>
      <c r="L405" s="200"/>
      <c r="M405" s="89" t="str">
        <f>IFERROR(VLOOKUP(H405,Lijsten!$H$1:$I$100,2,0),"")</f>
        <v/>
      </c>
      <c r="N405" s="89" t="str" cm="1">
        <f t="array" ref="N405">IFERROR(_xlfn.IFS(AND(LEFT(F405,6)="Arbeid",RIGHT(F405,3)&lt;&gt;"IKS"),IFERROR(VLOOKUP($G405,Tb_KostenTypen[],2,0),"tarief"),RIGHT(F405,3)="IKS","Uurtarief",LEFT(F405,6)="Arbeid","Uurtarief",AND(LEFT(F405,8)="Bijdrage",RIGHT(F405,15)="(vrijwilligers)"),"Vast tarief"),"")</f>
        <v/>
      </c>
      <c r="O405" s="90"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0"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1"/>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59"/>
      <c r="Z405" s="49"/>
      <c r="AA405" s="37" t="str" cm="1">
        <f t="array" ref="AA405">IFERROR(IF(INDEX(SubsidieTabel!$Q$1:$T$9,MATCH($F405,SubsidieTabel!$Q$1:$Q$9,0),IFERROR(MATCH(Methode_Keuze,SubsidieTabel!$Q$1:$T$1,0),2))&lt;&gt;1=TRUE,"ja",""),"")</f>
        <v/>
      </c>
    </row>
    <row r="406" spans="1:27" ht="15" customHeight="1" x14ac:dyDescent="0.25">
      <c r="A406" s="85"/>
      <c r="B406" s="217" t="str">
        <f>IF(A406&lt;&gt;"",_xlfn.MAXIFS($B$1:B405,$A$1:A405,A406)+1,"")</f>
        <v/>
      </c>
      <c r="C406" s="50"/>
      <c r="D406" s="50"/>
      <c r="E406" s="50"/>
      <c r="F406" s="50"/>
      <c r="G406" s="280"/>
      <c r="H406" s="293"/>
      <c r="I406" s="292"/>
      <c r="J406" s="292"/>
      <c r="K406" s="200"/>
      <c r="L406" s="200"/>
      <c r="M406" s="89" t="str">
        <f>IFERROR(VLOOKUP(H406,Lijsten!$H$1:$I$100,2,0),"")</f>
        <v/>
      </c>
      <c r="N406" s="89" t="str" cm="1">
        <f t="array" ref="N406">IFERROR(_xlfn.IFS(AND(LEFT(F406,6)="Arbeid",RIGHT(F406,3)&lt;&gt;"IKS"),IFERROR(VLOOKUP($G406,Tb_KostenTypen[],2,0),"tarief"),RIGHT(F406,3)="IKS","Uurtarief",LEFT(F406,6)="Arbeid","Uurtarief",AND(LEFT(F406,8)="Bijdrage",RIGHT(F406,15)="(vrijwilligers)"),"Vast tarief"),"")</f>
        <v/>
      </c>
      <c r="O406" s="90"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0"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1"/>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59"/>
      <c r="Z406" s="49"/>
      <c r="AA406" s="37" t="str" cm="1">
        <f t="array" ref="AA406">IFERROR(IF(INDEX(SubsidieTabel!$Q$1:$T$9,MATCH($F406,SubsidieTabel!$Q$1:$Q$9,0),IFERROR(MATCH(Methode_Keuze,SubsidieTabel!$Q$1:$T$1,0),2))&lt;&gt;1=TRUE,"ja",""),"")</f>
        <v/>
      </c>
    </row>
    <row r="407" spans="1:27" ht="15" customHeight="1" x14ac:dyDescent="0.25">
      <c r="A407" s="85"/>
      <c r="B407" s="217" t="str">
        <f>IF(A407&lt;&gt;"",_xlfn.MAXIFS($B$1:B406,$A$1:A406,A407)+1,"")</f>
        <v/>
      </c>
      <c r="C407" s="50"/>
      <c r="D407" s="50"/>
      <c r="E407" s="50"/>
      <c r="F407" s="50"/>
      <c r="G407" s="280"/>
      <c r="H407" s="293"/>
      <c r="I407" s="292"/>
      <c r="J407" s="292"/>
      <c r="K407" s="200"/>
      <c r="L407" s="200"/>
      <c r="M407" s="89" t="str">
        <f>IFERROR(VLOOKUP(H407,Lijsten!$H$1:$I$100,2,0),"")</f>
        <v/>
      </c>
      <c r="N407" s="89" t="str" cm="1">
        <f t="array" ref="N407">IFERROR(_xlfn.IFS(AND(LEFT(F407,6)="Arbeid",RIGHT(F407,3)&lt;&gt;"IKS"),IFERROR(VLOOKUP($G407,Tb_KostenTypen[],2,0),"tarief"),RIGHT(F407,3)="IKS","Uurtarief",LEFT(F407,6)="Arbeid","Uurtarief",AND(LEFT(F407,8)="Bijdrage",RIGHT(F407,15)="(vrijwilligers)"),"Vast tarief"),"")</f>
        <v/>
      </c>
      <c r="O407" s="90"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0"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1"/>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59"/>
      <c r="Z407" s="49"/>
      <c r="AA407" s="37" t="str" cm="1">
        <f t="array" ref="AA407">IFERROR(IF(INDEX(SubsidieTabel!$Q$1:$T$9,MATCH($F407,SubsidieTabel!$Q$1:$Q$9,0),IFERROR(MATCH(Methode_Keuze,SubsidieTabel!$Q$1:$T$1,0),2))&lt;&gt;1=TRUE,"ja",""),"")</f>
        <v/>
      </c>
    </row>
    <row r="408" spans="1:27" ht="15" customHeight="1" x14ac:dyDescent="0.25">
      <c r="A408" s="85"/>
      <c r="B408" s="217" t="str">
        <f>IF(A408&lt;&gt;"",_xlfn.MAXIFS($B$1:B407,$A$1:A407,A408)+1,"")</f>
        <v/>
      </c>
      <c r="C408" s="50"/>
      <c r="D408" s="50"/>
      <c r="E408" s="50"/>
      <c r="F408" s="50"/>
      <c r="G408" s="280"/>
      <c r="H408" s="293"/>
      <c r="I408" s="292"/>
      <c r="J408" s="292"/>
      <c r="K408" s="200"/>
      <c r="L408" s="200"/>
      <c r="M408" s="89" t="str">
        <f>IFERROR(VLOOKUP(H408,Lijsten!$H$1:$I$100,2,0),"")</f>
        <v/>
      </c>
      <c r="N408" s="89" t="str" cm="1">
        <f t="array" ref="N408">IFERROR(_xlfn.IFS(AND(LEFT(F408,6)="Arbeid",RIGHT(F408,3)&lt;&gt;"IKS"),IFERROR(VLOOKUP($G408,Tb_KostenTypen[],2,0),"tarief"),RIGHT(F408,3)="IKS","Uurtarief",LEFT(F408,6)="Arbeid","Uurtarief",AND(LEFT(F408,8)="Bijdrage",RIGHT(F408,15)="(vrijwilligers)"),"Vast tarief"),"")</f>
        <v/>
      </c>
      <c r="O408" s="90"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0"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1"/>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59"/>
      <c r="Z408" s="49"/>
      <c r="AA408" s="37" t="str" cm="1">
        <f t="array" ref="AA408">IFERROR(IF(INDEX(SubsidieTabel!$Q$1:$T$9,MATCH($F408,SubsidieTabel!$Q$1:$Q$9,0),IFERROR(MATCH(Methode_Keuze,SubsidieTabel!$Q$1:$T$1,0),2))&lt;&gt;1=TRUE,"ja",""),"")</f>
        <v/>
      </c>
    </row>
    <row r="409" spans="1:27" ht="15" customHeight="1" x14ac:dyDescent="0.25">
      <c r="A409" s="85"/>
      <c r="B409" s="217" t="str">
        <f>IF(A409&lt;&gt;"",_xlfn.MAXIFS($B$1:B408,$A$1:A408,A409)+1,"")</f>
        <v/>
      </c>
      <c r="C409" s="50"/>
      <c r="D409" s="50"/>
      <c r="E409" s="50"/>
      <c r="F409" s="50"/>
      <c r="G409" s="280"/>
      <c r="H409" s="293"/>
      <c r="I409" s="292"/>
      <c r="J409" s="292"/>
      <c r="K409" s="200"/>
      <c r="L409" s="200"/>
      <c r="M409" s="89" t="str">
        <f>IFERROR(VLOOKUP(H409,Lijsten!$H$1:$I$100,2,0),"")</f>
        <v/>
      </c>
      <c r="N409" s="89" t="str" cm="1">
        <f t="array" ref="N409">IFERROR(_xlfn.IFS(AND(LEFT(F409,6)="Arbeid",RIGHT(F409,3)&lt;&gt;"IKS"),IFERROR(VLOOKUP($G409,Tb_KostenTypen[],2,0),"tarief"),RIGHT(F409,3)="IKS","Uurtarief",LEFT(F409,6)="Arbeid","Uurtarief",AND(LEFT(F409,8)="Bijdrage",RIGHT(F409,15)="(vrijwilligers)"),"Vast tarief"),"")</f>
        <v/>
      </c>
      <c r="O409" s="90"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0"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1"/>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59"/>
      <c r="Z409" s="49"/>
      <c r="AA409" s="37" t="str" cm="1">
        <f t="array" ref="AA409">IFERROR(IF(INDEX(SubsidieTabel!$Q$1:$T$9,MATCH($F409,SubsidieTabel!$Q$1:$Q$9,0),IFERROR(MATCH(Methode_Keuze,SubsidieTabel!$Q$1:$T$1,0),2))&lt;&gt;1=TRUE,"ja",""),"")</f>
        <v/>
      </c>
    </row>
    <row r="410" spans="1:27" ht="15" customHeight="1" x14ac:dyDescent="0.25">
      <c r="A410" s="85"/>
      <c r="B410" s="217" t="str">
        <f>IF(A410&lt;&gt;"",_xlfn.MAXIFS($B$1:B409,$A$1:A409,A410)+1,"")</f>
        <v/>
      </c>
      <c r="C410" s="50"/>
      <c r="D410" s="50"/>
      <c r="E410" s="50"/>
      <c r="F410" s="50"/>
      <c r="G410" s="280"/>
      <c r="H410" s="293"/>
      <c r="I410" s="292"/>
      <c r="J410" s="292"/>
      <c r="K410" s="200"/>
      <c r="L410" s="200"/>
      <c r="M410" s="89" t="str">
        <f>IFERROR(VLOOKUP(H410,Lijsten!$H$1:$I$100,2,0),"")</f>
        <v/>
      </c>
      <c r="N410" s="89" t="str" cm="1">
        <f t="array" ref="N410">IFERROR(_xlfn.IFS(AND(LEFT(F410,6)="Arbeid",RIGHT(F410,3)&lt;&gt;"IKS"),IFERROR(VLOOKUP($G410,Tb_KostenTypen[],2,0),"tarief"),RIGHT(F410,3)="IKS","Uurtarief",LEFT(F410,6)="Arbeid","Uurtarief",AND(LEFT(F410,8)="Bijdrage",RIGHT(F410,15)="(vrijwilligers)"),"Vast tarief"),"")</f>
        <v/>
      </c>
      <c r="O410" s="90"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0"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1"/>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59"/>
      <c r="Z410" s="49"/>
      <c r="AA410" s="37" t="str" cm="1">
        <f t="array" ref="AA410">IFERROR(IF(INDEX(SubsidieTabel!$Q$1:$T$9,MATCH($F410,SubsidieTabel!$Q$1:$Q$9,0),IFERROR(MATCH(Methode_Keuze,SubsidieTabel!$Q$1:$T$1,0),2))&lt;&gt;1=TRUE,"ja",""),"")</f>
        <v/>
      </c>
    </row>
    <row r="411" spans="1:27" ht="15" customHeight="1" x14ac:dyDescent="0.25">
      <c r="A411" s="85"/>
      <c r="B411" s="217" t="str">
        <f>IF(A411&lt;&gt;"",_xlfn.MAXIFS($B$1:B410,$A$1:A410,A411)+1,"")</f>
        <v/>
      </c>
      <c r="C411" s="50"/>
      <c r="D411" s="50"/>
      <c r="E411" s="50"/>
      <c r="F411" s="50"/>
      <c r="G411" s="280"/>
      <c r="H411" s="293"/>
      <c r="I411" s="292"/>
      <c r="J411" s="292"/>
      <c r="K411" s="200"/>
      <c r="L411" s="200"/>
      <c r="M411" s="89" t="str">
        <f>IFERROR(VLOOKUP(H411,Lijsten!$H$1:$I$100,2,0),"")</f>
        <v/>
      </c>
      <c r="N411" s="89" t="str" cm="1">
        <f t="array" ref="N411">IFERROR(_xlfn.IFS(AND(LEFT(F411,6)="Arbeid",RIGHT(F411,3)&lt;&gt;"IKS"),IFERROR(VLOOKUP($G411,Tb_KostenTypen[],2,0),"tarief"),RIGHT(F411,3)="IKS","Uurtarief",LEFT(F411,6)="Arbeid","Uurtarief",AND(LEFT(F411,8)="Bijdrage",RIGHT(F411,15)="(vrijwilligers)"),"Vast tarief"),"")</f>
        <v/>
      </c>
      <c r="O411" s="90"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0"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1"/>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59"/>
      <c r="Z411" s="49"/>
      <c r="AA411" s="37" t="str" cm="1">
        <f t="array" ref="AA411">IFERROR(IF(INDEX(SubsidieTabel!$Q$1:$T$9,MATCH($F411,SubsidieTabel!$Q$1:$Q$9,0),IFERROR(MATCH(Methode_Keuze,SubsidieTabel!$Q$1:$T$1,0),2))&lt;&gt;1=TRUE,"ja",""),"")</f>
        <v/>
      </c>
    </row>
    <row r="412" spans="1:27" ht="15" customHeight="1" x14ac:dyDescent="0.25">
      <c r="A412" s="85"/>
      <c r="B412" s="217" t="str">
        <f>IF(A412&lt;&gt;"",_xlfn.MAXIFS($B$1:B411,$A$1:A411,A412)+1,"")</f>
        <v/>
      </c>
      <c r="C412" s="50"/>
      <c r="D412" s="50"/>
      <c r="E412" s="50"/>
      <c r="F412" s="50"/>
      <c r="G412" s="280"/>
      <c r="H412" s="293"/>
      <c r="I412" s="292"/>
      <c r="J412" s="292"/>
      <c r="K412" s="200"/>
      <c r="L412" s="200"/>
      <c r="M412" s="89" t="str">
        <f>IFERROR(VLOOKUP(H412,Lijsten!$H$1:$I$100,2,0),"")</f>
        <v/>
      </c>
      <c r="N412" s="89" t="str" cm="1">
        <f t="array" ref="N412">IFERROR(_xlfn.IFS(AND(LEFT(F412,6)="Arbeid",RIGHT(F412,3)&lt;&gt;"IKS"),IFERROR(VLOOKUP($G412,Tb_KostenTypen[],2,0),"tarief"),RIGHT(F412,3)="IKS","Uurtarief",LEFT(F412,6)="Arbeid","Uurtarief",AND(LEFT(F412,8)="Bijdrage",RIGHT(F412,15)="(vrijwilligers)"),"Vast tarief"),"")</f>
        <v/>
      </c>
      <c r="O412" s="90"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0"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1"/>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59"/>
      <c r="Z412" s="49"/>
      <c r="AA412" s="37" t="str" cm="1">
        <f t="array" ref="AA412">IFERROR(IF(INDEX(SubsidieTabel!$Q$1:$T$9,MATCH($F412,SubsidieTabel!$Q$1:$Q$9,0),IFERROR(MATCH(Methode_Keuze,SubsidieTabel!$Q$1:$T$1,0),2))&lt;&gt;1=TRUE,"ja",""),"")</f>
        <v/>
      </c>
    </row>
    <row r="413" spans="1:27" ht="15" customHeight="1" x14ac:dyDescent="0.25">
      <c r="A413" s="85"/>
      <c r="B413" s="217" t="str">
        <f>IF(A413&lt;&gt;"",_xlfn.MAXIFS($B$1:B412,$A$1:A412,A413)+1,"")</f>
        <v/>
      </c>
      <c r="C413" s="50"/>
      <c r="D413" s="50"/>
      <c r="E413" s="50"/>
      <c r="F413" s="50"/>
      <c r="G413" s="280"/>
      <c r="H413" s="293"/>
      <c r="I413" s="292"/>
      <c r="J413" s="292"/>
      <c r="K413" s="200"/>
      <c r="L413" s="200"/>
      <c r="M413" s="89" t="str">
        <f>IFERROR(VLOOKUP(H413,Lijsten!$H$1:$I$100,2,0),"")</f>
        <v/>
      </c>
      <c r="N413" s="89" t="str" cm="1">
        <f t="array" ref="N413">IFERROR(_xlfn.IFS(AND(LEFT(F413,6)="Arbeid",RIGHT(F413,3)&lt;&gt;"IKS"),IFERROR(VLOOKUP($G413,Tb_KostenTypen[],2,0),"tarief"),RIGHT(F413,3)="IKS","Uurtarief",LEFT(F413,6)="Arbeid","Uurtarief",AND(LEFT(F413,8)="Bijdrage",RIGHT(F413,15)="(vrijwilligers)"),"Vast tarief"),"")</f>
        <v/>
      </c>
      <c r="O413" s="90"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0"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1"/>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59"/>
      <c r="Z413" s="49"/>
      <c r="AA413" s="37" t="str" cm="1">
        <f t="array" ref="AA413">IFERROR(IF(INDEX(SubsidieTabel!$Q$1:$T$9,MATCH($F413,SubsidieTabel!$Q$1:$Q$9,0),IFERROR(MATCH(Methode_Keuze,SubsidieTabel!$Q$1:$T$1,0),2))&lt;&gt;1=TRUE,"ja",""),"")</f>
        <v/>
      </c>
    </row>
    <row r="414" spans="1:27" ht="15" customHeight="1" x14ac:dyDescent="0.25">
      <c r="A414" s="85"/>
      <c r="B414" s="217" t="str">
        <f>IF(A414&lt;&gt;"",_xlfn.MAXIFS($B$1:B413,$A$1:A413,A414)+1,"")</f>
        <v/>
      </c>
      <c r="C414" s="50"/>
      <c r="D414" s="50"/>
      <c r="E414" s="50"/>
      <c r="F414" s="50"/>
      <c r="G414" s="280"/>
      <c r="H414" s="293"/>
      <c r="I414" s="292"/>
      <c r="J414" s="292"/>
      <c r="K414" s="200"/>
      <c r="L414" s="200"/>
      <c r="M414" s="89" t="str">
        <f>IFERROR(VLOOKUP(H414,Lijsten!$H$1:$I$100,2,0),"")</f>
        <v/>
      </c>
      <c r="N414" s="89" t="str" cm="1">
        <f t="array" ref="N414">IFERROR(_xlfn.IFS(AND(LEFT(F414,6)="Arbeid",RIGHT(F414,3)&lt;&gt;"IKS"),IFERROR(VLOOKUP($G414,Tb_KostenTypen[],2,0),"tarief"),RIGHT(F414,3)="IKS","Uurtarief",LEFT(F414,6)="Arbeid","Uurtarief",AND(LEFT(F414,8)="Bijdrage",RIGHT(F414,15)="(vrijwilligers)"),"Vast tarief"),"")</f>
        <v/>
      </c>
      <c r="O414" s="90"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0"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1"/>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59"/>
      <c r="Z414" s="49"/>
      <c r="AA414" s="37" t="str" cm="1">
        <f t="array" ref="AA414">IFERROR(IF(INDEX(SubsidieTabel!$Q$1:$T$9,MATCH($F414,SubsidieTabel!$Q$1:$Q$9,0),IFERROR(MATCH(Methode_Keuze,SubsidieTabel!$Q$1:$T$1,0),2))&lt;&gt;1=TRUE,"ja",""),"")</f>
        <v/>
      </c>
    </row>
    <row r="415" spans="1:27" ht="15" customHeight="1" x14ac:dyDescent="0.25">
      <c r="A415" s="85"/>
      <c r="B415" s="217" t="str">
        <f>IF(A415&lt;&gt;"",_xlfn.MAXIFS($B$1:B414,$A$1:A414,A415)+1,"")</f>
        <v/>
      </c>
      <c r="C415" s="50"/>
      <c r="D415" s="50"/>
      <c r="E415" s="50"/>
      <c r="F415" s="50"/>
      <c r="G415" s="280"/>
      <c r="H415" s="293"/>
      <c r="I415" s="292"/>
      <c r="J415" s="292"/>
      <c r="K415" s="200"/>
      <c r="L415" s="200"/>
      <c r="M415" s="89" t="str">
        <f>IFERROR(VLOOKUP(H415,Lijsten!$H$1:$I$100,2,0),"")</f>
        <v/>
      </c>
      <c r="N415" s="89" t="str" cm="1">
        <f t="array" ref="N415">IFERROR(_xlfn.IFS(AND(LEFT(F415,6)="Arbeid",RIGHT(F415,3)&lt;&gt;"IKS"),IFERROR(VLOOKUP($G415,Tb_KostenTypen[],2,0),"tarief"),RIGHT(F415,3)="IKS","Uurtarief",LEFT(F415,6)="Arbeid","Uurtarief",AND(LEFT(F415,8)="Bijdrage",RIGHT(F415,15)="(vrijwilligers)"),"Vast tarief"),"")</f>
        <v/>
      </c>
      <c r="O415" s="90"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0"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1"/>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59"/>
      <c r="Z415" s="49"/>
      <c r="AA415" s="37" t="str" cm="1">
        <f t="array" ref="AA415">IFERROR(IF(INDEX(SubsidieTabel!$Q$1:$T$9,MATCH($F415,SubsidieTabel!$Q$1:$Q$9,0),IFERROR(MATCH(Methode_Keuze,SubsidieTabel!$Q$1:$T$1,0),2))&lt;&gt;1=TRUE,"ja",""),"")</f>
        <v/>
      </c>
    </row>
    <row r="416" spans="1:27" ht="15" customHeight="1" x14ac:dyDescent="0.25">
      <c r="A416" s="85"/>
      <c r="B416" s="217" t="str">
        <f>IF(A416&lt;&gt;"",_xlfn.MAXIFS($B$1:B415,$A$1:A415,A416)+1,"")</f>
        <v/>
      </c>
      <c r="C416" s="50"/>
      <c r="D416" s="50"/>
      <c r="E416" s="50"/>
      <c r="F416" s="50"/>
      <c r="G416" s="280"/>
      <c r="H416" s="293"/>
      <c r="I416" s="292"/>
      <c r="J416" s="292"/>
      <c r="K416" s="200"/>
      <c r="L416" s="200"/>
      <c r="M416" s="89" t="str">
        <f>IFERROR(VLOOKUP(H416,Lijsten!$H$1:$I$100,2,0),"")</f>
        <v/>
      </c>
      <c r="N416" s="89" t="str" cm="1">
        <f t="array" ref="N416">IFERROR(_xlfn.IFS(AND(LEFT(F416,6)="Arbeid",RIGHT(F416,3)&lt;&gt;"IKS"),IFERROR(VLOOKUP($G416,Tb_KostenTypen[],2,0),"tarief"),RIGHT(F416,3)="IKS","Uurtarief",LEFT(F416,6)="Arbeid","Uurtarief",AND(LEFT(F416,8)="Bijdrage",RIGHT(F416,15)="(vrijwilligers)"),"Vast tarief"),"")</f>
        <v/>
      </c>
      <c r="O416" s="90"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0"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1"/>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59"/>
      <c r="Z416" s="49"/>
      <c r="AA416" s="37" t="str" cm="1">
        <f t="array" ref="AA416">IFERROR(IF(INDEX(SubsidieTabel!$Q$1:$T$9,MATCH($F416,SubsidieTabel!$Q$1:$Q$9,0),IFERROR(MATCH(Methode_Keuze,SubsidieTabel!$Q$1:$T$1,0),2))&lt;&gt;1=TRUE,"ja",""),"")</f>
        <v/>
      </c>
    </row>
    <row r="417" spans="1:27" ht="15" customHeight="1" x14ac:dyDescent="0.25">
      <c r="A417" s="85"/>
      <c r="B417" s="217" t="str">
        <f>IF(A417&lt;&gt;"",_xlfn.MAXIFS($B$1:B416,$A$1:A416,A417)+1,"")</f>
        <v/>
      </c>
      <c r="C417" s="50"/>
      <c r="D417" s="50"/>
      <c r="E417" s="50"/>
      <c r="F417" s="50"/>
      <c r="G417" s="280"/>
      <c r="H417" s="293"/>
      <c r="I417" s="292"/>
      <c r="J417" s="292"/>
      <c r="K417" s="200"/>
      <c r="L417" s="200"/>
      <c r="M417" s="89" t="str">
        <f>IFERROR(VLOOKUP(H417,Lijsten!$H$1:$I$100,2,0),"")</f>
        <v/>
      </c>
      <c r="N417" s="89" t="str" cm="1">
        <f t="array" ref="N417">IFERROR(_xlfn.IFS(AND(LEFT(F417,6)="Arbeid",RIGHT(F417,3)&lt;&gt;"IKS"),IFERROR(VLOOKUP($G417,Tb_KostenTypen[],2,0),"tarief"),RIGHT(F417,3)="IKS","Uurtarief",LEFT(F417,6)="Arbeid","Uurtarief",AND(LEFT(F417,8)="Bijdrage",RIGHT(F417,15)="(vrijwilligers)"),"Vast tarief"),"")</f>
        <v/>
      </c>
      <c r="O417" s="90"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0"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1"/>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59"/>
      <c r="Z417" s="49"/>
      <c r="AA417" s="37" t="str" cm="1">
        <f t="array" ref="AA417">IFERROR(IF(INDEX(SubsidieTabel!$Q$1:$T$9,MATCH($F417,SubsidieTabel!$Q$1:$Q$9,0),IFERROR(MATCH(Methode_Keuze,SubsidieTabel!$Q$1:$T$1,0),2))&lt;&gt;1=TRUE,"ja",""),"")</f>
        <v/>
      </c>
    </row>
    <row r="418" spans="1:27" ht="15" customHeight="1" x14ac:dyDescent="0.25">
      <c r="A418" s="85"/>
      <c r="B418" s="217" t="str">
        <f>IF(A418&lt;&gt;"",_xlfn.MAXIFS($B$1:B417,$A$1:A417,A418)+1,"")</f>
        <v/>
      </c>
      <c r="C418" s="50"/>
      <c r="D418" s="50"/>
      <c r="E418" s="50"/>
      <c r="F418" s="50"/>
      <c r="G418" s="280"/>
      <c r="H418" s="293"/>
      <c r="I418" s="292"/>
      <c r="J418" s="292"/>
      <c r="K418" s="200"/>
      <c r="L418" s="200"/>
      <c r="M418" s="89" t="str">
        <f>IFERROR(VLOOKUP(H418,Lijsten!$H$1:$I$100,2,0),"")</f>
        <v/>
      </c>
      <c r="N418" s="89" t="str" cm="1">
        <f t="array" ref="N418">IFERROR(_xlfn.IFS(AND(LEFT(F418,6)="Arbeid",RIGHT(F418,3)&lt;&gt;"IKS"),IFERROR(VLOOKUP($G418,Tb_KostenTypen[],2,0),"tarief"),RIGHT(F418,3)="IKS","Uurtarief",LEFT(F418,6)="Arbeid","Uurtarief",AND(LEFT(F418,8)="Bijdrage",RIGHT(F418,15)="(vrijwilligers)"),"Vast tarief"),"")</f>
        <v/>
      </c>
      <c r="O418" s="90"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0"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1"/>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59"/>
      <c r="Z418" s="49"/>
      <c r="AA418" s="37" t="str" cm="1">
        <f t="array" ref="AA418">IFERROR(IF(INDEX(SubsidieTabel!$Q$1:$T$9,MATCH($F418,SubsidieTabel!$Q$1:$Q$9,0),IFERROR(MATCH(Methode_Keuze,SubsidieTabel!$Q$1:$T$1,0),2))&lt;&gt;1=TRUE,"ja",""),"")</f>
        <v/>
      </c>
    </row>
    <row r="419" spans="1:27" ht="15" customHeight="1" x14ac:dyDescent="0.25">
      <c r="A419" s="85"/>
      <c r="B419" s="217" t="str">
        <f>IF(A419&lt;&gt;"",_xlfn.MAXIFS($B$1:B418,$A$1:A418,A419)+1,"")</f>
        <v/>
      </c>
      <c r="C419" s="50"/>
      <c r="D419" s="50"/>
      <c r="E419" s="50"/>
      <c r="F419" s="50"/>
      <c r="G419" s="280"/>
      <c r="H419" s="293"/>
      <c r="I419" s="292"/>
      <c r="J419" s="292"/>
      <c r="K419" s="200"/>
      <c r="L419" s="200"/>
      <c r="M419" s="89" t="str">
        <f>IFERROR(VLOOKUP(H419,Lijsten!$H$1:$I$100,2,0),"")</f>
        <v/>
      </c>
      <c r="N419" s="89" t="str" cm="1">
        <f t="array" ref="N419">IFERROR(_xlfn.IFS(AND(LEFT(F419,6)="Arbeid",RIGHT(F419,3)&lt;&gt;"IKS"),IFERROR(VLOOKUP($G419,Tb_KostenTypen[],2,0),"tarief"),RIGHT(F419,3)="IKS","Uurtarief",LEFT(F419,6)="Arbeid","Uurtarief",AND(LEFT(F419,8)="Bijdrage",RIGHT(F419,15)="(vrijwilligers)"),"Vast tarief"),"")</f>
        <v/>
      </c>
      <c r="O419" s="90"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0"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1"/>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59"/>
      <c r="Z419" s="49"/>
      <c r="AA419" s="37" t="str" cm="1">
        <f t="array" ref="AA419">IFERROR(IF(INDEX(SubsidieTabel!$Q$1:$T$9,MATCH($F419,SubsidieTabel!$Q$1:$Q$9,0),IFERROR(MATCH(Methode_Keuze,SubsidieTabel!$Q$1:$T$1,0),2))&lt;&gt;1=TRUE,"ja",""),"")</f>
        <v/>
      </c>
    </row>
    <row r="420" spans="1:27" ht="15" customHeight="1" x14ac:dyDescent="0.25">
      <c r="A420" s="85"/>
      <c r="B420" s="217" t="str">
        <f>IF(A420&lt;&gt;"",_xlfn.MAXIFS($B$1:B419,$A$1:A419,A420)+1,"")</f>
        <v/>
      </c>
      <c r="C420" s="50"/>
      <c r="D420" s="50"/>
      <c r="E420" s="50"/>
      <c r="F420" s="50"/>
      <c r="G420" s="280"/>
      <c r="H420" s="293"/>
      <c r="I420" s="292"/>
      <c r="J420" s="292"/>
      <c r="K420" s="200"/>
      <c r="L420" s="200"/>
      <c r="M420" s="89" t="str">
        <f>IFERROR(VLOOKUP(H420,Lijsten!$H$1:$I$100,2,0),"")</f>
        <v/>
      </c>
      <c r="N420" s="89" t="str" cm="1">
        <f t="array" ref="N420">IFERROR(_xlfn.IFS(AND(LEFT(F420,6)="Arbeid",RIGHT(F420,3)&lt;&gt;"IKS"),IFERROR(VLOOKUP($G420,Tb_KostenTypen[],2,0),"tarief"),RIGHT(F420,3)="IKS","Uurtarief",LEFT(F420,6)="Arbeid","Uurtarief",AND(LEFT(F420,8)="Bijdrage",RIGHT(F420,15)="(vrijwilligers)"),"Vast tarief"),"")</f>
        <v/>
      </c>
      <c r="O420" s="90"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0"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1"/>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59"/>
      <c r="Z420" s="49"/>
      <c r="AA420" s="37" t="str" cm="1">
        <f t="array" ref="AA420">IFERROR(IF(INDEX(SubsidieTabel!$Q$1:$T$9,MATCH($F420,SubsidieTabel!$Q$1:$Q$9,0),IFERROR(MATCH(Methode_Keuze,SubsidieTabel!$Q$1:$T$1,0),2))&lt;&gt;1=TRUE,"ja",""),"")</f>
        <v/>
      </c>
    </row>
    <row r="421" spans="1:27" ht="15" customHeight="1" x14ac:dyDescent="0.25">
      <c r="A421" s="85"/>
      <c r="B421" s="217" t="str">
        <f>IF(A421&lt;&gt;"",_xlfn.MAXIFS($B$1:B420,$A$1:A420,A421)+1,"")</f>
        <v/>
      </c>
      <c r="C421" s="50"/>
      <c r="D421" s="50"/>
      <c r="E421" s="50"/>
      <c r="F421" s="50"/>
      <c r="G421" s="280"/>
      <c r="H421" s="293"/>
      <c r="I421" s="292"/>
      <c r="J421" s="292"/>
      <c r="K421" s="200"/>
      <c r="L421" s="200"/>
      <c r="M421" s="89" t="str">
        <f>IFERROR(VLOOKUP(H421,Lijsten!$H$1:$I$100,2,0),"")</f>
        <v/>
      </c>
      <c r="N421" s="89" t="str" cm="1">
        <f t="array" ref="N421">IFERROR(_xlfn.IFS(AND(LEFT(F421,6)="Arbeid",RIGHT(F421,3)&lt;&gt;"IKS"),IFERROR(VLOOKUP($G421,Tb_KostenTypen[],2,0),"tarief"),RIGHT(F421,3)="IKS","Uurtarief",LEFT(F421,6)="Arbeid","Uurtarief",AND(LEFT(F421,8)="Bijdrage",RIGHT(F421,15)="(vrijwilligers)"),"Vast tarief"),"")</f>
        <v/>
      </c>
      <c r="O421" s="90"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0"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1"/>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59"/>
      <c r="Z421" s="49"/>
      <c r="AA421" s="37" t="str" cm="1">
        <f t="array" ref="AA421">IFERROR(IF(INDEX(SubsidieTabel!$Q$1:$T$9,MATCH($F421,SubsidieTabel!$Q$1:$Q$9,0),IFERROR(MATCH(Methode_Keuze,SubsidieTabel!$Q$1:$T$1,0),2))&lt;&gt;1=TRUE,"ja",""),"")</f>
        <v/>
      </c>
    </row>
    <row r="422" spans="1:27" ht="15" customHeight="1" x14ac:dyDescent="0.25">
      <c r="A422" s="85"/>
      <c r="B422" s="217" t="str">
        <f>IF(A422&lt;&gt;"",_xlfn.MAXIFS($B$1:B421,$A$1:A421,A422)+1,"")</f>
        <v/>
      </c>
      <c r="C422" s="50"/>
      <c r="D422" s="50"/>
      <c r="E422" s="50"/>
      <c r="F422" s="50"/>
      <c r="G422" s="280"/>
      <c r="H422" s="293"/>
      <c r="I422" s="292"/>
      <c r="J422" s="292"/>
      <c r="K422" s="200"/>
      <c r="L422" s="200"/>
      <c r="M422" s="89" t="str">
        <f>IFERROR(VLOOKUP(H422,Lijsten!$H$1:$I$100,2,0),"")</f>
        <v/>
      </c>
      <c r="N422" s="89" t="str" cm="1">
        <f t="array" ref="N422">IFERROR(_xlfn.IFS(AND(LEFT(F422,6)="Arbeid",RIGHT(F422,3)&lt;&gt;"IKS"),IFERROR(VLOOKUP($G422,Tb_KostenTypen[],2,0),"tarief"),RIGHT(F422,3)="IKS","Uurtarief",LEFT(F422,6)="Arbeid","Uurtarief",AND(LEFT(F422,8)="Bijdrage",RIGHT(F422,15)="(vrijwilligers)"),"Vast tarief"),"")</f>
        <v/>
      </c>
      <c r="O422" s="90"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0"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1"/>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59"/>
      <c r="Z422" s="49"/>
      <c r="AA422" s="37" t="str" cm="1">
        <f t="array" ref="AA422">IFERROR(IF(INDEX(SubsidieTabel!$Q$1:$T$9,MATCH($F422,SubsidieTabel!$Q$1:$Q$9,0),IFERROR(MATCH(Methode_Keuze,SubsidieTabel!$Q$1:$T$1,0),2))&lt;&gt;1=TRUE,"ja",""),"")</f>
        <v/>
      </c>
    </row>
    <row r="423" spans="1:27" ht="15" customHeight="1" x14ac:dyDescent="0.25">
      <c r="A423" s="85"/>
      <c r="B423" s="217" t="str">
        <f>IF(A423&lt;&gt;"",_xlfn.MAXIFS($B$1:B422,$A$1:A422,A423)+1,"")</f>
        <v/>
      </c>
      <c r="C423" s="50"/>
      <c r="D423" s="50"/>
      <c r="E423" s="50"/>
      <c r="F423" s="50"/>
      <c r="G423" s="280"/>
      <c r="H423" s="293"/>
      <c r="I423" s="292"/>
      <c r="J423" s="292"/>
      <c r="K423" s="200"/>
      <c r="L423" s="200"/>
      <c r="M423" s="89" t="str">
        <f>IFERROR(VLOOKUP(H423,Lijsten!$H$1:$I$100,2,0),"")</f>
        <v/>
      </c>
      <c r="N423" s="89" t="str" cm="1">
        <f t="array" ref="N423">IFERROR(_xlfn.IFS(AND(LEFT(F423,6)="Arbeid",RIGHT(F423,3)&lt;&gt;"IKS"),IFERROR(VLOOKUP($G423,Tb_KostenTypen[],2,0),"tarief"),RIGHT(F423,3)="IKS","Uurtarief",LEFT(F423,6)="Arbeid","Uurtarief",AND(LEFT(F423,8)="Bijdrage",RIGHT(F423,15)="(vrijwilligers)"),"Vast tarief"),"")</f>
        <v/>
      </c>
      <c r="O423" s="90"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0"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1"/>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59"/>
      <c r="Z423" s="49"/>
      <c r="AA423" s="37" t="str" cm="1">
        <f t="array" ref="AA423">IFERROR(IF(INDEX(SubsidieTabel!$Q$1:$T$9,MATCH($F423,SubsidieTabel!$Q$1:$Q$9,0),IFERROR(MATCH(Methode_Keuze,SubsidieTabel!$Q$1:$T$1,0),2))&lt;&gt;1=TRUE,"ja",""),"")</f>
        <v/>
      </c>
    </row>
    <row r="424" spans="1:27" ht="15" customHeight="1" x14ac:dyDescent="0.25">
      <c r="A424" s="85"/>
      <c r="B424" s="217" t="str">
        <f>IF(A424&lt;&gt;"",_xlfn.MAXIFS($B$1:B423,$A$1:A423,A424)+1,"")</f>
        <v/>
      </c>
      <c r="C424" s="50"/>
      <c r="D424" s="50"/>
      <c r="E424" s="50"/>
      <c r="F424" s="50"/>
      <c r="G424" s="280"/>
      <c r="H424" s="293"/>
      <c r="I424" s="292"/>
      <c r="J424" s="292"/>
      <c r="K424" s="200"/>
      <c r="L424" s="200"/>
      <c r="M424" s="89" t="str">
        <f>IFERROR(VLOOKUP(H424,Lijsten!$H$1:$I$100,2,0),"")</f>
        <v/>
      </c>
      <c r="N424" s="89" t="str" cm="1">
        <f t="array" ref="N424">IFERROR(_xlfn.IFS(AND(LEFT(F424,6)="Arbeid",RIGHT(F424,3)&lt;&gt;"IKS"),IFERROR(VLOOKUP($G424,Tb_KostenTypen[],2,0),"tarief"),RIGHT(F424,3)="IKS","Uurtarief",LEFT(F424,6)="Arbeid","Uurtarief",AND(LEFT(F424,8)="Bijdrage",RIGHT(F424,15)="(vrijwilligers)"),"Vast tarief"),"")</f>
        <v/>
      </c>
      <c r="O424" s="90"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0"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1"/>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59"/>
      <c r="Z424" s="49"/>
      <c r="AA424" s="37" t="str" cm="1">
        <f t="array" ref="AA424">IFERROR(IF(INDEX(SubsidieTabel!$Q$1:$T$9,MATCH($F424,SubsidieTabel!$Q$1:$Q$9,0),IFERROR(MATCH(Methode_Keuze,SubsidieTabel!$Q$1:$T$1,0),2))&lt;&gt;1=TRUE,"ja",""),"")</f>
        <v/>
      </c>
    </row>
    <row r="425" spans="1:27" ht="15" customHeight="1" x14ac:dyDescent="0.25">
      <c r="A425" s="85"/>
      <c r="B425" s="217" t="str">
        <f>IF(A425&lt;&gt;"",_xlfn.MAXIFS($B$1:B424,$A$1:A424,A425)+1,"")</f>
        <v/>
      </c>
      <c r="C425" s="50"/>
      <c r="D425" s="50"/>
      <c r="E425" s="50"/>
      <c r="F425" s="50"/>
      <c r="G425" s="280"/>
      <c r="H425" s="293"/>
      <c r="I425" s="292"/>
      <c r="J425" s="292"/>
      <c r="K425" s="200"/>
      <c r="L425" s="200"/>
      <c r="M425" s="89" t="str">
        <f>IFERROR(VLOOKUP(H425,Lijsten!$H$1:$I$100,2,0),"")</f>
        <v/>
      </c>
      <c r="N425" s="89" t="str" cm="1">
        <f t="array" ref="N425">IFERROR(_xlfn.IFS(AND(LEFT(F425,6)="Arbeid",RIGHT(F425,3)&lt;&gt;"IKS"),IFERROR(VLOOKUP($G425,Tb_KostenTypen[],2,0),"tarief"),RIGHT(F425,3)="IKS","Uurtarief",LEFT(F425,6)="Arbeid","Uurtarief",AND(LEFT(F425,8)="Bijdrage",RIGHT(F425,15)="(vrijwilligers)"),"Vast tarief"),"")</f>
        <v/>
      </c>
      <c r="O425" s="90"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0"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1"/>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59"/>
      <c r="Z425" s="49"/>
      <c r="AA425" s="37" t="str" cm="1">
        <f t="array" ref="AA425">IFERROR(IF(INDEX(SubsidieTabel!$Q$1:$T$9,MATCH($F425,SubsidieTabel!$Q$1:$Q$9,0),IFERROR(MATCH(Methode_Keuze,SubsidieTabel!$Q$1:$T$1,0),2))&lt;&gt;1=TRUE,"ja",""),"")</f>
        <v/>
      </c>
    </row>
    <row r="426" spans="1:27" ht="15" customHeight="1" x14ac:dyDescent="0.25">
      <c r="A426" s="85"/>
      <c r="B426" s="217" t="str">
        <f>IF(A426&lt;&gt;"",_xlfn.MAXIFS($B$1:B425,$A$1:A425,A426)+1,"")</f>
        <v/>
      </c>
      <c r="C426" s="50"/>
      <c r="D426" s="50"/>
      <c r="E426" s="50"/>
      <c r="F426" s="50"/>
      <c r="G426" s="280"/>
      <c r="H426" s="293"/>
      <c r="I426" s="292"/>
      <c r="J426" s="292"/>
      <c r="K426" s="200"/>
      <c r="L426" s="200"/>
      <c r="M426" s="89" t="str">
        <f>IFERROR(VLOOKUP(H426,Lijsten!$H$1:$I$100,2,0),"")</f>
        <v/>
      </c>
      <c r="N426" s="89" t="str" cm="1">
        <f t="array" ref="N426">IFERROR(_xlfn.IFS(AND(LEFT(F426,6)="Arbeid",RIGHT(F426,3)&lt;&gt;"IKS"),IFERROR(VLOOKUP($G426,Tb_KostenTypen[],2,0),"tarief"),RIGHT(F426,3)="IKS","Uurtarief",LEFT(F426,6)="Arbeid","Uurtarief",AND(LEFT(F426,8)="Bijdrage",RIGHT(F426,15)="(vrijwilligers)"),"Vast tarief"),"")</f>
        <v/>
      </c>
      <c r="O426" s="90"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0"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1"/>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59"/>
      <c r="Z426" s="49"/>
      <c r="AA426" s="37" t="str" cm="1">
        <f t="array" ref="AA426">IFERROR(IF(INDEX(SubsidieTabel!$Q$1:$T$9,MATCH($F426,SubsidieTabel!$Q$1:$Q$9,0),IFERROR(MATCH(Methode_Keuze,SubsidieTabel!$Q$1:$T$1,0),2))&lt;&gt;1=TRUE,"ja",""),"")</f>
        <v/>
      </c>
    </row>
    <row r="427" spans="1:27" ht="15" customHeight="1" x14ac:dyDescent="0.25">
      <c r="A427" s="85"/>
      <c r="B427" s="217" t="str">
        <f>IF(A427&lt;&gt;"",_xlfn.MAXIFS($B$1:B426,$A$1:A426,A427)+1,"")</f>
        <v/>
      </c>
      <c r="C427" s="50"/>
      <c r="D427" s="50"/>
      <c r="E427" s="50"/>
      <c r="F427" s="50"/>
      <c r="G427" s="280"/>
      <c r="H427" s="293"/>
      <c r="I427" s="292"/>
      <c r="J427" s="292"/>
      <c r="K427" s="200"/>
      <c r="L427" s="200"/>
      <c r="M427" s="89" t="str">
        <f>IFERROR(VLOOKUP(H427,Lijsten!$H$1:$I$100,2,0),"")</f>
        <v/>
      </c>
      <c r="N427" s="89" t="str" cm="1">
        <f t="array" ref="N427">IFERROR(_xlfn.IFS(AND(LEFT(F427,6)="Arbeid",RIGHT(F427,3)&lt;&gt;"IKS"),IFERROR(VLOOKUP($G427,Tb_KostenTypen[],2,0),"tarief"),RIGHT(F427,3)="IKS","Uurtarief",LEFT(F427,6)="Arbeid","Uurtarief",AND(LEFT(F427,8)="Bijdrage",RIGHT(F427,15)="(vrijwilligers)"),"Vast tarief"),"")</f>
        <v/>
      </c>
      <c r="O427" s="90"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0"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1"/>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59"/>
      <c r="Z427" s="49"/>
      <c r="AA427" s="37" t="str" cm="1">
        <f t="array" ref="AA427">IFERROR(IF(INDEX(SubsidieTabel!$Q$1:$T$9,MATCH($F427,SubsidieTabel!$Q$1:$Q$9,0),IFERROR(MATCH(Methode_Keuze,SubsidieTabel!$Q$1:$T$1,0),2))&lt;&gt;1=TRUE,"ja",""),"")</f>
        <v/>
      </c>
    </row>
    <row r="428" spans="1:27" ht="15" customHeight="1" x14ac:dyDescent="0.25">
      <c r="A428" s="85"/>
      <c r="B428" s="217" t="str">
        <f>IF(A428&lt;&gt;"",_xlfn.MAXIFS($B$1:B427,$A$1:A427,A428)+1,"")</f>
        <v/>
      </c>
      <c r="C428" s="50"/>
      <c r="D428" s="50"/>
      <c r="E428" s="50"/>
      <c r="F428" s="50"/>
      <c r="G428" s="280"/>
      <c r="H428" s="293"/>
      <c r="I428" s="292"/>
      <c r="J428" s="292"/>
      <c r="K428" s="200"/>
      <c r="L428" s="200"/>
      <c r="M428" s="89" t="str">
        <f>IFERROR(VLOOKUP(H428,Lijsten!$H$1:$I$100,2,0),"")</f>
        <v/>
      </c>
      <c r="N428" s="89" t="str" cm="1">
        <f t="array" ref="N428">IFERROR(_xlfn.IFS(AND(LEFT(F428,6)="Arbeid",RIGHT(F428,3)&lt;&gt;"IKS"),IFERROR(VLOOKUP($G428,Tb_KostenTypen[],2,0),"tarief"),RIGHT(F428,3)="IKS","Uurtarief",LEFT(F428,6)="Arbeid","Uurtarief",AND(LEFT(F428,8)="Bijdrage",RIGHT(F428,15)="(vrijwilligers)"),"Vast tarief"),"")</f>
        <v/>
      </c>
      <c r="O428" s="90"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0"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1"/>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59"/>
      <c r="Z428" s="49"/>
      <c r="AA428" s="37" t="str" cm="1">
        <f t="array" ref="AA428">IFERROR(IF(INDEX(SubsidieTabel!$Q$1:$T$9,MATCH($F428,SubsidieTabel!$Q$1:$Q$9,0),IFERROR(MATCH(Methode_Keuze,SubsidieTabel!$Q$1:$T$1,0),2))&lt;&gt;1=TRUE,"ja",""),"")</f>
        <v/>
      </c>
    </row>
    <row r="429" spans="1:27" ht="15" customHeight="1" x14ac:dyDescent="0.25">
      <c r="A429" s="85"/>
      <c r="B429" s="217" t="str">
        <f>IF(A429&lt;&gt;"",_xlfn.MAXIFS($B$1:B428,$A$1:A428,A429)+1,"")</f>
        <v/>
      </c>
      <c r="C429" s="50"/>
      <c r="D429" s="50"/>
      <c r="E429" s="50"/>
      <c r="F429" s="50"/>
      <c r="G429" s="280"/>
      <c r="H429" s="293"/>
      <c r="I429" s="292"/>
      <c r="J429" s="292"/>
      <c r="K429" s="200"/>
      <c r="L429" s="200"/>
      <c r="M429" s="89" t="str">
        <f>IFERROR(VLOOKUP(H429,Lijsten!$H$1:$I$100,2,0),"")</f>
        <v/>
      </c>
      <c r="N429" s="89" t="str" cm="1">
        <f t="array" ref="N429">IFERROR(_xlfn.IFS(AND(LEFT(F429,6)="Arbeid",RIGHT(F429,3)&lt;&gt;"IKS"),IFERROR(VLOOKUP($G429,Tb_KostenTypen[],2,0),"tarief"),RIGHT(F429,3)="IKS","Uurtarief",LEFT(F429,6)="Arbeid","Uurtarief",AND(LEFT(F429,8)="Bijdrage",RIGHT(F429,15)="(vrijwilligers)"),"Vast tarief"),"")</f>
        <v/>
      </c>
      <c r="O429" s="90"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0"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1"/>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59"/>
      <c r="Z429" s="49"/>
      <c r="AA429" s="37" t="str" cm="1">
        <f t="array" ref="AA429">IFERROR(IF(INDEX(SubsidieTabel!$Q$1:$T$9,MATCH($F429,SubsidieTabel!$Q$1:$Q$9,0),IFERROR(MATCH(Methode_Keuze,SubsidieTabel!$Q$1:$T$1,0),2))&lt;&gt;1=TRUE,"ja",""),"")</f>
        <v/>
      </c>
    </row>
    <row r="430" spans="1:27" ht="15" customHeight="1" x14ac:dyDescent="0.25">
      <c r="A430" s="85"/>
      <c r="B430" s="217" t="str">
        <f>IF(A430&lt;&gt;"",_xlfn.MAXIFS($B$1:B429,$A$1:A429,A430)+1,"")</f>
        <v/>
      </c>
      <c r="C430" s="50"/>
      <c r="D430" s="50"/>
      <c r="E430" s="50"/>
      <c r="F430" s="50"/>
      <c r="G430" s="280"/>
      <c r="H430" s="293"/>
      <c r="I430" s="292"/>
      <c r="J430" s="292"/>
      <c r="K430" s="200"/>
      <c r="L430" s="200"/>
      <c r="M430" s="89" t="str">
        <f>IFERROR(VLOOKUP(H430,Lijsten!$H$1:$I$100,2,0),"")</f>
        <v/>
      </c>
      <c r="N430" s="89" t="str" cm="1">
        <f t="array" ref="N430">IFERROR(_xlfn.IFS(AND(LEFT(F430,6)="Arbeid",RIGHT(F430,3)&lt;&gt;"IKS"),IFERROR(VLOOKUP($G430,Tb_KostenTypen[],2,0),"tarief"),RIGHT(F430,3)="IKS","Uurtarief",LEFT(F430,6)="Arbeid","Uurtarief",AND(LEFT(F430,8)="Bijdrage",RIGHT(F430,15)="(vrijwilligers)"),"Vast tarief"),"")</f>
        <v/>
      </c>
      <c r="O430" s="90"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0"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1"/>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59"/>
      <c r="Z430" s="49"/>
      <c r="AA430" s="37" t="str" cm="1">
        <f t="array" ref="AA430">IFERROR(IF(INDEX(SubsidieTabel!$Q$1:$T$9,MATCH($F430,SubsidieTabel!$Q$1:$Q$9,0),IFERROR(MATCH(Methode_Keuze,SubsidieTabel!$Q$1:$T$1,0),2))&lt;&gt;1=TRUE,"ja",""),"")</f>
        <v/>
      </c>
    </row>
    <row r="431" spans="1:27" ht="15" customHeight="1" x14ac:dyDescent="0.25">
      <c r="A431" s="85"/>
      <c r="B431" s="217" t="str">
        <f>IF(A431&lt;&gt;"",_xlfn.MAXIFS($B$1:B430,$A$1:A430,A431)+1,"")</f>
        <v/>
      </c>
      <c r="C431" s="50"/>
      <c r="D431" s="50"/>
      <c r="E431" s="50"/>
      <c r="F431" s="50"/>
      <c r="G431" s="280"/>
      <c r="H431" s="293"/>
      <c r="I431" s="292"/>
      <c r="J431" s="292"/>
      <c r="K431" s="200"/>
      <c r="L431" s="200"/>
      <c r="M431" s="89" t="str">
        <f>IFERROR(VLOOKUP(H431,Lijsten!$H$1:$I$100,2,0),"")</f>
        <v/>
      </c>
      <c r="N431" s="89" t="str" cm="1">
        <f t="array" ref="N431">IFERROR(_xlfn.IFS(AND(LEFT(F431,6)="Arbeid",RIGHT(F431,3)&lt;&gt;"IKS"),IFERROR(VLOOKUP($G431,Tb_KostenTypen[],2,0),"tarief"),RIGHT(F431,3)="IKS","Uurtarief",LEFT(F431,6)="Arbeid","Uurtarief",AND(LEFT(F431,8)="Bijdrage",RIGHT(F431,15)="(vrijwilligers)"),"Vast tarief"),"")</f>
        <v/>
      </c>
      <c r="O431" s="90"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0"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1"/>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59"/>
      <c r="Z431" s="49"/>
      <c r="AA431" s="37" t="str" cm="1">
        <f t="array" ref="AA431">IFERROR(IF(INDEX(SubsidieTabel!$Q$1:$T$9,MATCH($F431,SubsidieTabel!$Q$1:$Q$9,0),IFERROR(MATCH(Methode_Keuze,SubsidieTabel!$Q$1:$T$1,0),2))&lt;&gt;1=TRUE,"ja",""),"")</f>
        <v/>
      </c>
    </row>
    <row r="432" spans="1:27" ht="15" customHeight="1" x14ac:dyDescent="0.25">
      <c r="A432" s="85"/>
      <c r="B432" s="217" t="str">
        <f>IF(A432&lt;&gt;"",_xlfn.MAXIFS($B$1:B431,$A$1:A431,A432)+1,"")</f>
        <v/>
      </c>
      <c r="C432" s="50"/>
      <c r="D432" s="50"/>
      <c r="E432" s="50"/>
      <c r="F432" s="50"/>
      <c r="G432" s="280"/>
      <c r="H432" s="293"/>
      <c r="I432" s="292"/>
      <c r="J432" s="292"/>
      <c r="K432" s="200"/>
      <c r="L432" s="200"/>
      <c r="M432" s="89" t="str">
        <f>IFERROR(VLOOKUP(H432,Lijsten!$H$1:$I$100,2,0),"")</f>
        <v/>
      </c>
      <c r="N432" s="89" t="str" cm="1">
        <f t="array" ref="N432">IFERROR(_xlfn.IFS(AND(LEFT(F432,6)="Arbeid",RIGHT(F432,3)&lt;&gt;"IKS"),IFERROR(VLOOKUP($G432,Tb_KostenTypen[],2,0),"tarief"),RIGHT(F432,3)="IKS","Uurtarief",LEFT(F432,6)="Arbeid","Uurtarief",AND(LEFT(F432,8)="Bijdrage",RIGHT(F432,15)="(vrijwilligers)"),"Vast tarief"),"")</f>
        <v/>
      </c>
      <c r="O432" s="90"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0"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1"/>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59"/>
      <c r="Z432" s="49"/>
      <c r="AA432" s="37" t="str" cm="1">
        <f t="array" ref="AA432">IFERROR(IF(INDEX(SubsidieTabel!$Q$1:$T$9,MATCH($F432,SubsidieTabel!$Q$1:$Q$9,0),IFERROR(MATCH(Methode_Keuze,SubsidieTabel!$Q$1:$T$1,0),2))&lt;&gt;1=TRUE,"ja",""),"")</f>
        <v/>
      </c>
    </row>
    <row r="433" spans="1:27" ht="15" customHeight="1" x14ac:dyDescent="0.25">
      <c r="A433" s="85"/>
      <c r="B433" s="217" t="str">
        <f>IF(A433&lt;&gt;"",_xlfn.MAXIFS($B$1:B432,$A$1:A432,A433)+1,"")</f>
        <v/>
      </c>
      <c r="C433" s="50"/>
      <c r="D433" s="50"/>
      <c r="E433" s="50"/>
      <c r="F433" s="50"/>
      <c r="G433" s="280"/>
      <c r="H433" s="293"/>
      <c r="I433" s="292"/>
      <c r="J433" s="292"/>
      <c r="K433" s="200"/>
      <c r="L433" s="200"/>
      <c r="M433" s="89" t="str">
        <f>IFERROR(VLOOKUP(H433,Lijsten!$H$1:$I$100,2,0),"")</f>
        <v/>
      </c>
      <c r="N433" s="89" t="str" cm="1">
        <f t="array" ref="N433">IFERROR(_xlfn.IFS(AND(LEFT(F433,6)="Arbeid",RIGHT(F433,3)&lt;&gt;"IKS"),IFERROR(VLOOKUP($G433,Tb_KostenTypen[],2,0),"tarief"),RIGHT(F433,3)="IKS","Uurtarief",LEFT(F433,6)="Arbeid","Uurtarief",AND(LEFT(F433,8)="Bijdrage",RIGHT(F433,15)="(vrijwilligers)"),"Vast tarief"),"")</f>
        <v/>
      </c>
      <c r="O433" s="90"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0"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1"/>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59"/>
      <c r="Z433" s="49"/>
      <c r="AA433" s="37" t="str" cm="1">
        <f t="array" ref="AA433">IFERROR(IF(INDEX(SubsidieTabel!$Q$1:$T$9,MATCH($F433,SubsidieTabel!$Q$1:$Q$9,0),IFERROR(MATCH(Methode_Keuze,SubsidieTabel!$Q$1:$T$1,0),2))&lt;&gt;1=TRUE,"ja",""),"")</f>
        <v/>
      </c>
    </row>
    <row r="434" spans="1:27" ht="15" customHeight="1" x14ac:dyDescent="0.25">
      <c r="A434" s="85"/>
      <c r="B434" s="217" t="str">
        <f>IF(A434&lt;&gt;"",_xlfn.MAXIFS($B$1:B433,$A$1:A433,A434)+1,"")</f>
        <v/>
      </c>
      <c r="C434" s="50"/>
      <c r="D434" s="50"/>
      <c r="E434" s="50"/>
      <c r="F434" s="50"/>
      <c r="G434" s="280"/>
      <c r="H434" s="293"/>
      <c r="I434" s="292"/>
      <c r="J434" s="292"/>
      <c r="K434" s="200"/>
      <c r="L434" s="200"/>
      <c r="M434" s="89" t="str">
        <f>IFERROR(VLOOKUP(H434,Lijsten!$H$1:$I$100,2,0),"")</f>
        <v/>
      </c>
      <c r="N434" s="89" t="str" cm="1">
        <f t="array" ref="N434">IFERROR(_xlfn.IFS(AND(LEFT(F434,6)="Arbeid",RIGHT(F434,3)&lt;&gt;"IKS"),IFERROR(VLOOKUP($G434,Tb_KostenTypen[],2,0),"tarief"),RIGHT(F434,3)="IKS","Uurtarief",LEFT(F434,6)="Arbeid","Uurtarief",AND(LEFT(F434,8)="Bijdrage",RIGHT(F434,15)="(vrijwilligers)"),"Vast tarief"),"")</f>
        <v/>
      </c>
      <c r="O434" s="90"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0"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1"/>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59"/>
      <c r="Z434" s="49"/>
      <c r="AA434" s="37" t="str" cm="1">
        <f t="array" ref="AA434">IFERROR(IF(INDEX(SubsidieTabel!$Q$1:$T$9,MATCH($F434,SubsidieTabel!$Q$1:$Q$9,0),IFERROR(MATCH(Methode_Keuze,SubsidieTabel!$Q$1:$T$1,0),2))&lt;&gt;1=TRUE,"ja",""),"")</f>
        <v/>
      </c>
    </row>
    <row r="435" spans="1:27" ht="15" customHeight="1" x14ac:dyDescent="0.25">
      <c r="A435" s="85"/>
      <c r="B435" s="217" t="str">
        <f>IF(A435&lt;&gt;"",_xlfn.MAXIFS($B$1:B434,$A$1:A434,A435)+1,"")</f>
        <v/>
      </c>
      <c r="C435" s="50"/>
      <c r="D435" s="50"/>
      <c r="E435" s="50"/>
      <c r="F435" s="50"/>
      <c r="G435" s="280"/>
      <c r="H435" s="293"/>
      <c r="I435" s="292"/>
      <c r="J435" s="292"/>
      <c r="K435" s="200"/>
      <c r="L435" s="200"/>
      <c r="M435" s="89" t="str">
        <f>IFERROR(VLOOKUP(H435,Lijsten!$H$1:$I$100,2,0),"")</f>
        <v/>
      </c>
      <c r="N435" s="89" t="str" cm="1">
        <f t="array" ref="N435">IFERROR(_xlfn.IFS(AND(LEFT(F435,6)="Arbeid",RIGHT(F435,3)&lt;&gt;"IKS"),IFERROR(VLOOKUP($G435,Tb_KostenTypen[],2,0),"tarief"),RIGHT(F435,3)="IKS","Uurtarief",LEFT(F435,6)="Arbeid","Uurtarief",AND(LEFT(F435,8)="Bijdrage",RIGHT(F435,15)="(vrijwilligers)"),"Vast tarief"),"")</f>
        <v/>
      </c>
      <c r="O435" s="90"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0"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1"/>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59"/>
      <c r="Z435" s="49"/>
      <c r="AA435" s="37" t="str" cm="1">
        <f t="array" ref="AA435">IFERROR(IF(INDEX(SubsidieTabel!$Q$1:$T$9,MATCH($F435,SubsidieTabel!$Q$1:$Q$9,0),IFERROR(MATCH(Methode_Keuze,SubsidieTabel!$Q$1:$T$1,0),2))&lt;&gt;1=TRUE,"ja",""),"")</f>
        <v/>
      </c>
    </row>
    <row r="436" spans="1:27" ht="15" customHeight="1" x14ac:dyDescent="0.25">
      <c r="A436" s="85"/>
      <c r="B436" s="217" t="str">
        <f>IF(A436&lt;&gt;"",_xlfn.MAXIFS($B$1:B435,$A$1:A435,A436)+1,"")</f>
        <v/>
      </c>
      <c r="C436" s="50"/>
      <c r="D436" s="50"/>
      <c r="E436" s="50"/>
      <c r="F436" s="50"/>
      <c r="G436" s="280"/>
      <c r="H436" s="293"/>
      <c r="I436" s="292"/>
      <c r="J436" s="292"/>
      <c r="K436" s="200"/>
      <c r="L436" s="200"/>
      <c r="M436" s="89" t="str">
        <f>IFERROR(VLOOKUP(H436,Lijsten!$H$1:$I$100,2,0),"")</f>
        <v/>
      </c>
      <c r="N436" s="89" t="str" cm="1">
        <f t="array" ref="N436">IFERROR(_xlfn.IFS(AND(LEFT(F436,6)="Arbeid",RIGHT(F436,3)&lt;&gt;"IKS"),IFERROR(VLOOKUP($G436,Tb_KostenTypen[],2,0),"tarief"),RIGHT(F436,3)="IKS","Uurtarief",LEFT(F436,6)="Arbeid","Uurtarief",AND(LEFT(F436,8)="Bijdrage",RIGHT(F436,15)="(vrijwilligers)"),"Vast tarief"),"")</f>
        <v/>
      </c>
      <c r="O436" s="90"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0"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1"/>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59"/>
      <c r="Z436" s="49"/>
      <c r="AA436" s="37" t="str" cm="1">
        <f t="array" ref="AA436">IFERROR(IF(INDEX(SubsidieTabel!$Q$1:$T$9,MATCH($F436,SubsidieTabel!$Q$1:$Q$9,0),IFERROR(MATCH(Methode_Keuze,SubsidieTabel!$Q$1:$T$1,0),2))&lt;&gt;1=TRUE,"ja",""),"")</f>
        <v/>
      </c>
    </row>
    <row r="437" spans="1:27" ht="15" customHeight="1" x14ac:dyDescent="0.25">
      <c r="A437" s="85"/>
      <c r="B437" s="217" t="str">
        <f>IF(A437&lt;&gt;"",_xlfn.MAXIFS($B$1:B436,$A$1:A436,A437)+1,"")</f>
        <v/>
      </c>
      <c r="C437" s="50"/>
      <c r="D437" s="50"/>
      <c r="E437" s="50"/>
      <c r="F437" s="50"/>
      <c r="G437" s="280"/>
      <c r="H437" s="293"/>
      <c r="I437" s="292"/>
      <c r="J437" s="292"/>
      <c r="K437" s="200"/>
      <c r="L437" s="200"/>
      <c r="M437" s="89" t="str">
        <f>IFERROR(VLOOKUP(H437,Lijsten!$H$1:$I$100,2,0),"")</f>
        <v/>
      </c>
      <c r="N437" s="89" t="str" cm="1">
        <f t="array" ref="N437">IFERROR(_xlfn.IFS(AND(LEFT(F437,6)="Arbeid",RIGHT(F437,3)&lt;&gt;"IKS"),IFERROR(VLOOKUP($G437,Tb_KostenTypen[],2,0),"tarief"),RIGHT(F437,3)="IKS","Uurtarief",LEFT(F437,6)="Arbeid","Uurtarief",AND(LEFT(F437,8)="Bijdrage",RIGHT(F437,15)="(vrijwilligers)"),"Vast tarief"),"")</f>
        <v/>
      </c>
      <c r="O437" s="90"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0"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1"/>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59"/>
      <c r="Z437" s="49"/>
      <c r="AA437" s="37" t="str" cm="1">
        <f t="array" ref="AA437">IFERROR(IF(INDEX(SubsidieTabel!$Q$1:$T$9,MATCH($F437,SubsidieTabel!$Q$1:$Q$9,0),IFERROR(MATCH(Methode_Keuze,SubsidieTabel!$Q$1:$T$1,0),2))&lt;&gt;1=TRUE,"ja",""),"")</f>
        <v/>
      </c>
    </row>
    <row r="438" spans="1:27" ht="15" customHeight="1" x14ac:dyDescent="0.25">
      <c r="A438" s="85"/>
      <c r="B438" s="217" t="str">
        <f>IF(A438&lt;&gt;"",_xlfn.MAXIFS($B$1:B437,$A$1:A437,A438)+1,"")</f>
        <v/>
      </c>
      <c r="C438" s="50"/>
      <c r="D438" s="50"/>
      <c r="E438" s="50"/>
      <c r="F438" s="50"/>
      <c r="G438" s="280"/>
      <c r="H438" s="293"/>
      <c r="I438" s="292"/>
      <c r="J438" s="292"/>
      <c r="K438" s="200"/>
      <c r="L438" s="200"/>
      <c r="M438" s="89" t="str">
        <f>IFERROR(VLOOKUP(H438,Lijsten!$H$1:$I$100,2,0),"")</f>
        <v/>
      </c>
      <c r="N438" s="89" t="str" cm="1">
        <f t="array" ref="N438">IFERROR(_xlfn.IFS(AND(LEFT(F438,6)="Arbeid",RIGHT(F438,3)&lt;&gt;"IKS"),IFERROR(VLOOKUP($G438,Tb_KostenTypen[],2,0),"tarief"),RIGHT(F438,3)="IKS","Uurtarief",LEFT(F438,6)="Arbeid","Uurtarief",AND(LEFT(F438,8)="Bijdrage",RIGHT(F438,15)="(vrijwilligers)"),"Vast tarief"),"")</f>
        <v/>
      </c>
      <c r="O438" s="90"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0"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1"/>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59"/>
      <c r="Z438" s="49"/>
      <c r="AA438" s="37" t="str" cm="1">
        <f t="array" ref="AA438">IFERROR(IF(INDEX(SubsidieTabel!$Q$1:$T$9,MATCH($F438,SubsidieTabel!$Q$1:$Q$9,0),IFERROR(MATCH(Methode_Keuze,SubsidieTabel!$Q$1:$T$1,0),2))&lt;&gt;1=TRUE,"ja",""),"")</f>
        <v/>
      </c>
    </row>
    <row r="439" spans="1:27" ht="15" customHeight="1" x14ac:dyDescent="0.25">
      <c r="A439" s="85"/>
      <c r="B439" s="217" t="str">
        <f>IF(A439&lt;&gt;"",_xlfn.MAXIFS($B$1:B438,$A$1:A438,A439)+1,"")</f>
        <v/>
      </c>
      <c r="C439" s="50"/>
      <c r="D439" s="50"/>
      <c r="E439" s="50"/>
      <c r="F439" s="50"/>
      <c r="G439" s="280"/>
      <c r="H439" s="293"/>
      <c r="I439" s="292"/>
      <c r="J439" s="292"/>
      <c r="K439" s="200"/>
      <c r="L439" s="200"/>
      <c r="M439" s="89" t="str">
        <f>IFERROR(VLOOKUP(H439,Lijsten!$H$1:$I$100,2,0),"")</f>
        <v/>
      </c>
      <c r="N439" s="89" t="str" cm="1">
        <f t="array" ref="N439">IFERROR(_xlfn.IFS(AND(LEFT(F439,6)="Arbeid",RIGHT(F439,3)&lt;&gt;"IKS"),IFERROR(VLOOKUP($G439,Tb_KostenTypen[],2,0),"tarief"),RIGHT(F439,3)="IKS","Uurtarief",LEFT(F439,6)="Arbeid","Uurtarief",AND(LEFT(F439,8)="Bijdrage",RIGHT(F439,15)="(vrijwilligers)"),"Vast tarief"),"")</f>
        <v/>
      </c>
      <c r="O439" s="90"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0"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1"/>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59"/>
      <c r="Z439" s="49"/>
      <c r="AA439" s="37" t="str" cm="1">
        <f t="array" ref="AA439">IFERROR(IF(INDEX(SubsidieTabel!$Q$1:$T$9,MATCH($F439,SubsidieTabel!$Q$1:$Q$9,0),IFERROR(MATCH(Methode_Keuze,SubsidieTabel!$Q$1:$T$1,0),2))&lt;&gt;1=TRUE,"ja",""),"")</f>
        <v/>
      </c>
    </row>
    <row r="440" spans="1:27" ht="15" customHeight="1" x14ac:dyDescent="0.25">
      <c r="A440" s="85"/>
      <c r="B440" s="217" t="str">
        <f>IF(A440&lt;&gt;"",_xlfn.MAXIFS($B$1:B439,$A$1:A439,A440)+1,"")</f>
        <v/>
      </c>
      <c r="C440" s="50"/>
      <c r="D440" s="50"/>
      <c r="E440" s="50"/>
      <c r="F440" s="50"/>
      <c r="G440" s="280"/>
      <c r="H440" s="293"/>
      <c r="I440" s="292"/>
      <c r="J440" s="292"/>
      <c r="K440" s="200"/>
      <c r="L440" s="200"/>
      <c r="M440" s="89" t="str">
        <f>IFERROR(VLOOKUP(H440,Lijsten!$H$1:$I$100,2,0),"")</f>
        <v/>
      </c>
      <c r="N440" s="89" t="str" cm="1">
        <f t="array" ref="N440">IFERROR(_xlfn.IFS(AND(LEFT(F440,6)="Arbeid",RIGHT(F440,3)&lt;&gt;"IKS"),IFERROR(VLOOKUP($G440,Tb_KostenTypen[],2,0),"tarief"),RIGHT(F440,3)="IKS","Uurtarief",LEFT(F440,6)="Arbeid","Uurtarief",AND(LEFT(F440,8)="Bijdrage",RIGHT(F440,15)="(vrijwilligers)"),"Vast tarief"),"")</f>
        <v/>
      </c>
      <c r="O440" s="90"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0"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1"/>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59"/>
      <c r="Z440" s="49"/>
      <c r="AA440" s="37" t="str" cm="1">
        <f t="array" ref="AA440">IFERROR(IF(INDEX(SubsidieTabel!$Q$1:$T$9,MATCH($F440,SubsidieTabel!$Q$1:$Q$9,0),IFERROR(MATCH(Methode_Keuze,SubsidieTabel!$Q$1:$T$1,0),2))&lt;&gt;1=TRUE,"ja",""),"")</f>
        <v/>
      </c>
    </row>
    <row r="441" spans="1:27" ht="15" customHeight="1" x14ac:dyDescent="0.25">
      <c r="A441" s="85"/>
      <c r="B441" s="217" t="str">
        <f>IF(A441&lt;&gt;"",_xlfn.MAXIFS($B$1:B440,$A$1:A440,A441)+1,"")</f>
        <v/>
      </c>
      <c r="C441" s="50"/>
      <c r="D441" s="50"/>
      <c r="E441" s="50"/>
      <c r="F441" s="50"/>
      <c r="G441" s="280"/>
      <c r="H441" s="293"/>
      <c r="I441" s="292"/>
      <c r="J441" s="292"/>
      <c r="K441" s="200"/>
      <c r="L441" s="200"/>
      <c r="M441" s="89" t="str">
        <f>IFERROR(VLOOKUP(H441,Lijsten!$H$1:$I$100,2,0),"")</f>
        <v/>
      </c>
      <c r="N441" s="89" t="str" cm="1">
        <f t="array" ref="N441">IFERROR(_xlfn.IFS(AND(LEFT(F441,6)="Arbeid",RIGHT(F441,3)&lt;&gt;"IKS"),IFERROR(VLOOKUP($G441,Tb_KostenTypen[],2,0),"tarief"),RIGHT(F441,3)="IKS","Uurtarief",LEFT(F441,6)="Arbeid","Uurtarief",AND(LEFT(F441,8)="Bijdrage",RIGHT(F441,15)="(vrijwilligers)"),"Vast tarief"),"")</f>
        <v/>
      </c>
      <c r="O441" s="90"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0"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1"/>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59"/>
      <c r="Z441" s="49"/>
      <c r="AA441" s="37" t="str" cm="1">
        <f t="array" ref="AA441">IFERROR(IF(INDEX(SubsidieTabel!$Q$1:$T$9,MATCH($F441,SubsidieTabel!$Q$1:$Q$9,0),IFERROR(MATCH(Methode_Keuze,SubsidieTabel!$Q$1:$T$1,0),2))&lt;&gt;1=TRUE,"ja",""),"")</f>
        <v/>
      </c>
    </row>
    <row r="442" spans="1:27" ht="15" customHeight="1" x14ac:dyDescent="0.25">
      <c r="A442" s="85"/>
      <c r="B442" s="217" t="str">
        <f>IF(A442&lt;&gt;"",_xlfn.MAXIFS($B$1:B441,$A$1:A441,A442)+1,"")</f>
        <v/>
      </c>
      <c r="C442" s="50"/>
      <c r="D442" s="50"/>
      <c r="E442" s="50"/>
      <c r="F442" s="50"/>
      <c r="G442" s="280"/>
      <c r="H442" s="293"/>
      <c r="I442" s="292"/>
      <c r="J442" s="292"/>
      <c r="K442" s="200"/>
      <c r="L442" s="200"/>
      <c r="M442" s="89" t="str">
        <f>IFERROR(VLOOKUP(H442,Lijsten!$H$1:$I$100,2,0),"")</f>
        <v/>
      </c>
      <c r="N442" s="89" t="str" cm="1">
        <f t="array" ref="N442">IFERROR(_xlfn.IFS(AND(LEFT(F442,6)="Arbeid",RIGHT(F442,3)&lt;&gt;"IKS"),IFERROR(VLOOKUP($G442,Tb_KostenTypen[],2,0),"tarief"),RIGHT(F442,3)="IKS","Uurtarief",LEFT(F442,6)="Arbeid","Uurtarief",AND(LEFT(F442,8)="Bijdrage",RIGHT(F442,15)="(vrijwilligers)"),"Vast tarief"),"")</f>
        <v/>
      </c>
      <c r="O442" s="90"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0"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1"/>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59"/>
      <c r="Z442" s="49"/>
      <c r="AA442" s="37" t="str" cm="1">
        <f t="array" ref="AA442">IFERROR(IF(INDEX(SubsidieTabel!$Q$1:$T$9,MATCH($F442,SubsidieTabel!$Q$1:$Q$9,0),IFERROR(MATCH(Methode_Keuze,SubsidieTabel!$Q$1:$T$1,0),2))&lt;&gt;1=TRUE,"ja",""),"")</f>
        <v/>
      </c>
    </row>
    <row r="443" spans="1:27" ht="15" customHeight="1" x14ac:dyDescent="0.25">
      <c r="A443" s="85"/>
      <c r="B443" s="217" t="str">
        <f>IF(A443&lt;&gt;"",_xlfn.MAXIFS($B$1:B442,$A$1:A442,A443)+1,"")</f>
        <v/>
      </c>
      <c r="C443" s="50"/>
      <c r="D443" s="50"/>
      <c r="E443" s="50"/>
      <c r="F443" s="50"/>
      <c r="G443" s="280"/>
      <c r="H443" s="293"/>
      <c r="I443" s="292"/>
      <c r="J443" s="292"/>
      <c r="K443" s="200"/>
      <c r="L443" s="200"/>
      <c r="M443" s="89" t="str">
        <f>IFERROR(VLOOKUP(H443,Lijsten!$H$1:$I$100,2,0),"")</f>
        <v/>
      </c>
      <c r="N443" s="89" t="str" cm="1">
        <f t="array" ref="N443">IFERROR(_xlfn.IFS(AND(LEFT(F443,6)="Arbeid",RIGHT(F443,3)&lt;&gt;"IKS"),IFERROR(VLOOKUP($G443,Tb_KostenTypen[],2,0),"tarief"),RIGHT(F443,3)="IKS","Uurtarief",LEFT(F443,6)="Arbeid","Uurtarief",AND(LEFT(F443,8)="Bijdrage",RIGHT(F443,15)="(vrijwilligers)"),"Vast tarief"),"")</f>
        <v/>
      </c>
      <c r="O443" s="90"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0"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1"/>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59"/>
      <c r="Z443" s="49"/>
      <c r="AA443" s="37" t="str" cm="1">
        <f t="array" ref="AA443">IFERROR(IF(INDEX(SubsidieTabel!$Q$1:$T$9,MATCH($F443,SubsidieTabel!$Q$1:$Q$9,0),IFERROR(MATCH(Methode_Keuze,SubsidieTabel!$Q$1:$T$1,0),2))&lt;&gt;1=TRUE,"ja",""),"")</f>
        <v/>
      </c>
    </row>
    <row r="444" spans="1:27" ht="15" customHeight="1" x14ac:dyDescent="0.25">
      <c r="A444" s="85"/>
      <c r="B444" s="217" t="str">
        <f>IF(A444&lt;&gt;"",_xlfn.MAXIFS($B$1:B443,$A$1:A443,A444)+1,"")</f>
        <v/>
      </c>
      <c r="C444" s="50"/>
      <c r="D444" s="50"/>
      <c r="E444" s="50"/>
      <c r="F444" s="50"/>
      <c r="G444" s="280"/>
      <c r="H444" s="293"/>
      <c r="I444" s="292"/>
      <c r="J444" s="292"/>
      <c r="K444" s="200"/>
      <c r="L444" s="200"/>
      <c r="M444" s="89" t="str">
        <f>IFERROR(VLOOKUP(H444,Lijsten!$H$1:$I$100,2,0),"")</f>
        <v/>
      </c>
      <c r="N444" s="89" t="str" cm="1">
        <f t="array" ref="N444">IFERROR(_xlfn.IFS(AND(LEFT(F444,6)="Arbeid",RIGHT(F444,3)&lt;&gt;"IKS"),IFERROR(VLOOKUP($G444,Tb_KostenTypen[],2,0),"tarief"),RIGHT(F444,3)="IKS","Uurtarief",LEFT(F444,6)="Arbeid","Uurtarief",AND(LEFT(F444,8)="Bijdrage",RIGHT(F444,15)="(vrijwilligers)"),"Vast tarief"),"")</f>
        <v/>
      </c>
      <c r="O444" s="90"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0"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1"/>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59"/>
      <c r="Z444" s="49"/>
      <c r="AA444" s="37" t="str" cm="1">
        <f t="array" ref="AA444">IFERROR(IF(INDEX(SubsidieTabel!$Q$1:$T$9,MATCH($F444,SubsidieTabel!$Q$1:$Q$9,0),IFERROR(MATCH(Methode_Keuze,SubsidieTabel!$Q$1:$T$1,0),2))&lt;&gt;1=TRUE,"ja",""),"")</f>
        <v/>
      </c>
    </row>
    <row r="445" spans="1:27" ht="15" customHeight="1" x14ac:dyDescent="0.25">
      <c r="A445" s="85"/>
      <c r="B445" s="217" t="str">
        <f>IF(A445&lt;&gt;"",_xlfn.MAXIFS($B$1:B444,$A$1:A444,A445)+1,"")</f>
        <v/>
      </c>
      <c r="C445" s="50"/>
      <c r="D445" s="50"/>
      <c r="E445" s="50"/>
      <c r="F445" s="50"/>
      <c r="G445" s="280"/>
      <c r="H445" s="293"/>
      <c r="I445" s="292"/>
      <c r="J445" s="292"/>
      <c r="K445" s="200"/>
      <c r="L445" s="200"/>
      <c r="M445" s="89" t="str">
        <f>IFERROR(VLOOKUP(H445,Lijsten!$H$1:$I$100,2,0),"")</f>
        <v/>
      </c>
      <c r="N445" s="89" t="str" cm="1">
        <f t="array" ref="N445">IFERROR(_xlfn.IFS(AND(LEFT(F445,6)="Arbeid",RIGHT(F445,3)&lt;&gt;"IKS"),IFERROR(VLOOKUP($G445,Tb_KostenTypen[],2,0),"tarief"),RIGHT(F445,3)="IKS","Uurtarief",LEFT(F445,6)="Arbeid","Uurtarief",AND(LEFT(F445,8)="Bijdrage",RIGHT(F445,15)="(vrijwilligers)"),"Vast tarief"),"")</f>
        <v/>
      </c>
      <c r="O445" s="90"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0"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1"/>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59"/>
      <c r="Z445" s="49"/>
      <c r="AA445" s="37" t="str" cm="1">
        <f t="array" ref="AA445">IFERROR(IF(INDEX(SubsidieTabel!$Q$1:$T$9,MATCH($F445,SubsidieTabel!$Q$1:$Q$9,0),IFERROR(MATCH(Methode_Keuze,SubsidieTabel!$Q$1:$T$1,0),2))&lt;&gt;1=TRUE,"ja",""),"")</f>
        <v/>
      </c>
    </row>
    <row r="446" spans="1:27" ht="15" customHeight="1" x14ac:dyDescent="0.25">
      <c r="A446" s="85"/>
      <c r="B446" s="217" t="str">
        <f>IF(A446&lt;&gt;"",_xlfn.MAXIFS($B$1:B445,$A$1:A445,A446)+1,"")</f>
        <v/>
      </c>
      <c r="C446" s="50"/>
      <c r="D446" s="50"/>
      <c r="E446" s="50"/>
      <c r="F446" s="50"/>
      <c r="G446" s="280"/>
      <c r="H446" s="293"/>
      <c r="I446" s="292"/>
      <c r="J446" s="292"/>
      <c r="K446" s="200"/>
      <c r="L446" s="200"/>
      <c r="M446" s="89" t="str">
        <f>IFERROR(VLOOKUP(H446,Lijsten!$H$1:$I$100,2,0),"")</f>
        <v/>
      </c>
      <c r="N446" s="89" t="str" cm="1">
        <f t="array" ref="N446">IFERROR(_xlfn.IFS(AND(LEFT(F446,6)="Arbeid",RIGHT(F446,3)&lt;&gt;"IKS"),IFERROR(VLOOKUP($G446,Tb_KostenTypen[],2,0),"tarief"),RIGHT(F446,3)="IKS","Uurtarief",LEFT(F446,6)="Arbeid","Uurtarief",AND(LEFT(F446,8)="Bijdrage",RIGHT(F446,15)="(vrijwilligers)"),"Vast tarief"),"")</f>
        <v/>
      </c>
      <c r="O446" s="90"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0"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1"/>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59"/>
      <c r="Z446" s="49"/>
      <c r="AA446" s="37" t="str" cm="1">
        <f t="array" ref="AA446">IFERROR(IF(INDEX(SubsidieTabel!$Q$1:$T$9,MATCH($F446,SubsidieTabel!$Q$1:$Q$9,0),IFERROR(MATCH(Methode_Keuze,SubsidieTabel!$Q$1:$T$1,0),2))&lt;&gt;1=TRUE,"ja",""),"")</f>
        <v/>
      </c>
    </row>
    <row r="447" spans="1:27" ht="15" customHeight="1" x14ac:dyDescent="0.25">
      <c r="A447" s="85"/>
      <c r="B447" s="217" t="str">
        <f>IF(A447&lt;&gt;"",_xlfn.MAXIFS($B$1:B446,$A$1:A446,A447)+1,"")</f>
        <v/>
      </c>
      <c r="C447" s="50"/>
      <c r="D447" s="50"/>
      <c r="E447" s="50"/>
      <c r="F447" s="50"/>
      <c r="G447" s="280"/>
      <c r="H447" s="293"/>
      <c r="I447" s="292"/>
      <c r="J447" s="292"/>
      <c r="K447" s="200"/>
      <c r="L447" s="200"/>
      <c r="M447" s="89" t="str">
        <f>IFERROR(VLOOKUP(H447,Lijsten!$H$1:$I$100,2,0),"")</f>
        <v/>
      </c>
      <c r="N447" s="89" t="str" cm="1">
        <f t="array" ref="N447">IFERROR(_xlfn.IFS(AND(LEFT(F447,6)="Arbeid",RIGHT(F447,3)&lt;&gt;"IKS"),IFERROR(VLOOKUP($G447,Tb_KostenTypen[],2,0),"tarief"),RIGHT(F447,3)="IKS","Uurtarief",LEFT(F447,6)="Arbeid","Uurtarief",AND(LEFT(F447,8)="Bijdrage",RIGHT(F447,15)="(vrijwilligers)"),"Vast tarief"),"")</f>
        <v/>
      </c>
      <c r="O447" s="90"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0"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1"/>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59"/>
      <c r="Z447" s="49"/>
      <c r="AA447" s="37" t="str" cm="1">
        <f t="array" ref="AA447">IFERROR(IF(INDEX(SubsidieTabel!$Q$1:$T$9,MATCH($F447,SubsidieTabel!$Q$1:$Q$9,0),IFERROR(MATCH(Methode_Keuze,SubsidieTabel!$Q$1:$T$1,0),2))&lt;&gt;1=TRUE,"ja",""),"")</f>
        <v/>
      </c>
    </row>
    <row r="448" spans="1:27" ht="15" customHeight="1" x14ac:dyDescent="0.25">
      <c r="A448" s="85"/>
      <c r="B448" s="217" t="str">
        <f>IF(A448&lt;&gt;"",_xlfn.MAXIFS($B$1:B447,$A$1:A447,A448)+1,"")</f>
        <v/>
      </c>
      <c r="C448" s="50"/>
      <c r="D448" s="50"/>
      <c r="E448" s="50"/>
      <c r="F448" s="50"/>
      <c r="G448" s="280"/>
      <c r="H448" s="293"/>
      <c r="I448" s="292"/>
      <c r="J448" s="292"/>
      <c r="K448" s="200"/>
      <c r="L448" s="200"/>
      <c r="M448" s="89" t="str">
        <f>IFERROR(VLOOKUP(H448,Lijsten!$H$1:$I$100,2,0),"")</f>
        <v/>
      </c>
      <c r="N448" s="89" t="str" cm="1">
        <f t="array" ref="N448">IFERROR(_xlfn.IFS(AND(LEFT(F448,6)="Arbeid",RIGHT(F448,3)&lt;&gt;"IKS"),IFERROR(VLOOKUP($G448,Tb_KostenTypen[],2,0),"tarief"),RIGHT(F448,3)="IKS","Uurtarief",LEFT(F448,6)="Arbeid","Uurtarief",AND(LEFT(F448,8)="Bijdrage",RIGHT(F448,15)="(vrijwilligers)"),"Vast tarief"),"")</f>
        <v/>
      </c>
      <c r="O448" s="90"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0"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1"/>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59"/>
      <c r="Z448" s="49"/>
      <c r="AA448" s="37" t="str" cm="1">
        <f t="array" ref="AA448">IFERROR(IF(INDEX(SubsidieTabel!$Q$1:$T$9,MATCH($F448,SubsidieTabel!$Q$1:$Q$9,0),IFERROR(MATCH(Methode_Keuze,SubsidieTabel!$Q$1:$T$1,0),2))&lt;&gt;1=TRUE,"ja",""),"")</f>
        <v/>
      </c>
    </row>
    <row r="449" spans="1:27" ht="15" customHeight="1" x14ac:dyDescent="0.25">
      <c r="A449" s="85"/>
      <c r="B449" s="217" t="str">
        <f>IF(A449&lt;&gt;"",_xlfn.MAXIFS($B$1:B448,$A$1:A448,A449)+1,"")</f>
        <v/>
      </c>
      <c r="C449" s="50"/>
      <c r="D449" s="50"/>
      <c r="E449" s="50"/>
      <c r="F449" s="50"/>
      <c r="G449" s="280"/>
      <c r="H449" s="293"/>
      <c r="I449" s="292"/>
      <c r="J449" s="292"/>
      <c r="K449" s="200"/>
      <c r="L449" s="200"/>
      <c r="M449" s="89" t="str">
        <f>IFERROR(VLOOKUP(H449,Lijsten!$H$1:$I$100,2,0),"")</f>
        <v/>
      </c>
      <c r="N449" s="89" t="str" cm="1">
        <f t="array" ref="N449">IFERROR(_xlfn.IFS(AND(LEFT(F449,6)="Arbeid",RIGHT(F449,3)&lt;&gt;"IKS"),IFERROR(VLOOKUP($G449,Tb_KostenTypen[],2,0),"tarief"),RIGHT(F449,3)="IKS","Uurtarief",LEFT(F449,6)="Arbeid","Uurtarief",AND(LEFT(F449,8)="Bijdrage",RIGHT(F449,15)="(vrijwilligers)"),"Vast tarief"),"")</f>
        <v/>
      </c>
      <c r="O449" s="90"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0"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1"/>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59"/>
      <c r="Z449" s="49"/>
      <c r="AA449" s="37" t="str" cm="1">
        <f t="array" ref="AA449">IFERROR(IF(INDEX(SubsidieTabel!$Q$1:$T$9,MATCH($F449,SubsidieTabel!$Q$1:$Q$9,0),IFERROR(MATCH(Methode_Keuze,SubsidieTabel!$Q$1:$T$1,0),2))&lt;&gt;1=TRUE,"ja",""),"")</f>
        <v/>
      </c>
    </row>
    <row r="450" spans="1:27" ht="15" customHeight="1" x14ac:dyDescent="0.25">
      <c r="A450" s="85"/>
      <c r="B450" s="217" t="str">
        <f>IF(A450&lt;&gt;"",_xlfn.MAXIFS($B$1:B449,$A$1:A449,A450)+1,"")</f>
        <v/>
      </c>
      <c r="C450" s="50"/>
      <c r="D450" s="50"/>
      <c r="E450" s="50"/>
      <c r="F450" s="50"/>
      <c r="G450" s="280"/>
      <c r="H450" s="293"/>
      <c r="I450" s="292"/>
      <c r="J450" s="292"/>
      <c r="K450" s="200"/>
      <c r="L450" s="200"/>
      <c r="M450" s="89" t="str">
        <f>IFERROR(VLOOKUP(H450,Lijsten!$H$1:$I$100,2,0),"")</f>
        <v/>
      </c>
      <c r="N450" s="89" t="str" cm="1">
        <f t="array" ref="N450">IFERROR(_xlfn.IFS(AND(LEFT(F450,6)="Arbeid",RIGHT(F450,3)&lt;&gt;"IKS"),IFERROR(VLOOKUP($G450,Tb_KostenTypen[],2,0),"tarief"),RIGHT(F450,3)="IKS","Uurtarief",LEFT(F450,6)="Arbeid","Uurtarief",AND(LEFT(F450,8)="Bijdrage",RIGHT(F450,15)="(vrijwilligers)"),"Vast tarief"),"")</f>
        <v/>
      </c>
      <c r="O450" s="90"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0"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1"/>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59"/>
      <c r="Z450" s="49"/>
      <c r="AA450" s="37" t="str" cm="1">
        <f t="array" ref="AA450">IFERROR(IF(INDEX(SubsidieTabel!$Q$1:$T$9,MATCH($F450,SubsidieTabel!$Q$1:$Q$9,0),IFERROR(MATCH(Methode_Keuze,SubsidieTabel!$Q$1:$T$1,0),2))&lt;&gt;1=TRUE,"ja",""),"")</f>
        <v/>
      </c>
    </row>
    <row r="451" spans="1:27" ht="15" customHeight="1" x14ac:dyDescent="0.25">
      <c r="A451" s="85"/>
      <c r="B451" s="217" t="str">
        <f>IF(A451&lt;&gt;"",_xlfn.MAXIFS($B$1:B450,$A$1:A450,A451)+1,"")</f>
        <v/>
      </c>
      <c r="C451" s="50"/>
      <c r="D451" s="50"/>
      <c r="E451" s="50"/>
      <c r="F451" s="50"/>
      <c r="G451" s="280"/>
      <c r="H451" s="293"/>
      <c r="I451" s="292"/>
      <c r="J451" s="292"/>
      <c r="K451" s="200"/>
      <c r="L451" s="200"/>
      <c r="M451" s="89" t="str">
        <f>IFERROR(VLOOKUP(H451,Lijsten!$H$1:$I$100,2,0),"")</f>
        <v/>
      </c>
      <c r="N451" s="89" t="str" cm="1">
        <f t="array" ref="N451">IFERROR(_xlfn.IFS(AND(LEFT(F451,6)="Arbeid",RIGHT(F451,3)&lt;&gt;"IKS"),IFERROR(VLOOKUP($G451,Tb_KostenTypen[],2,0),"tarief"),RIGHT(F451,3)="IKS","Uurtarief",LEFT(F451,6)="Arbeid","Uurtarief",AND(LEFT(F451,8)="Bijdrage",RIGHT(F451,15)="(vrijwilligers)"),"Vast tarief"),"")</f>
        <v/>
      </c>
      <c r="O451" s="90"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0"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1"/>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59"/>
      <c r="Z451" s="49"/>
      <c r="AA451" s="37" t="str" cm="1">
        <f t="array" ref="AA451">IFERROR(IF(INDEX(SubsidieTabel!$Q$1:$T$9,MATCH($F451,SubsidieTabel!$Q$1:$Q$9,0),IFERROR(MATCH(Methode_Keuze,SubsidieTabel!$Q$1:$T$1,0),2))&lt;&gt;1=TRUE,"ja",""),"")</f>
        <v/>
      </c>
    </row>
    <row r="452" spans="1:27" ht="15" customHeight="1" x14ac:dyDescent="0.25">
      <c r="A452" s="85"/>
      <c r="B452" s="217" t="str">
        <f>IF(A452&lt;&gt;"",_xlfn.MAXIFS($B$1:B451,$A$1:A451,A452)+1,"")</f>
        <v/>
      </c>
      <c r="C452" s="50"/>
      <c r="D452" s="50"/>
      <c r="E452" s="50"/>
      <c r="F452" s="50"/>
      <c r="G452" s="280"/>
      <c r="H452" s="293"/>
      <c r="I452" s="292"/>
      <c r="J452" s="292"/>
      <c r="K452" s="200"/>
      <c r="L452" s="200"/>
      <c r="M452" s="89" t="str">
        <f>IFERROR(VLOOKUP(H452,Lijsten!$H$1:$I$100,2,0),"")</f>
        <v/>
      </c>
      <c r="N452" s="89" t="str" cm="1">
        <f t="array" ref="N452">IFERROR(_xlfn.IFS(AND(LEFT(F452,6)="Arbeid",RIGHT(F452,3)&lt;&gt;"IKS"),IFERROR(VLOOKUP($G452,Tb_KostenTypen[],2,0),"tarief"),RIGHT(F452,3)="IKS","Uurtarief",LEFT(F452,6)="Arbeid","Uurtarief",AND(LEFT(F452,8)="Bijdrage",RIGHT(F452,15)="(vrijwilligers)"),"Vast tarief"),"")</f>
        <v/>
      </c>
      <c r="O452" s="90"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0"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1"/>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59"/>
      <c r="Z452" s="49"/>
      <c r="AA452" s="37" t="str" cm="1">
        <f t="array" ref="AA452">IFERROR(IF(INDEX(SubsidieTabel!$Q$1:$T$9,MATCH($F452,SubsidieTabel!$Q$1:$Q$9,0),IFERROR(MATCH(Methode_Keuze,SubsidieTabel!$Q$1:$T$1,0),2))&lt;&gt;1=TRUE,"ja",""),"")</f>
        <v/>
      </c>
    </row>
    <row r="453" spans="1:27" ht="15" customHeight="1" x14ac:dyDescent="0.25">
      <c r="A453" s="85"/>
      <c r="B453" s="217" t="str">
        <f>IF(A453&lt;&gt;"",_xlfn.MAXIFS($B$1:B452,$A$1:A452,A453)+1,"")</f>
        <v/>
      </c>
      <c r="C453" s="50"/>
      <c r="D453" s="50"/>
      <c r="E453" s="50"/>
      <c r="F453" s="50"/>
      <c r="G453" s="280"/>
      <c r="H453" s="293"/>
      <c r="I453" s="292"/>
      <c r="J453" s="292"/>
      <c r="K453" s="200"/>
      <c r="L453" s="200"/>
      <c r="M453" s="89" t="str">
        <f>IFERROR(VLOOKUP(H453,Lijsten!$H$1:$I$100,2,0),"")</f>
        <v/>
      </c>
      <c r="N453" s="89" t="str" cm="1">
        <f t="array" ref="N453">IFERROR(_xlfn.IFS(AND(LEFT(F453,6)="Arbeid",RIGHT(F453,3)&lt;&gt;"IKS"),IFERROR(VLOOKUP($G453,Tb_KostenTypen[],2,0),"tarief"),RIGHT(F453,3)="IKS","Uurtarief",LEFT(F453,6)="Arbeid","Uurtarief",AND(LEFT(F453,8)="Bijdrage",RIGHT(F453,15)="(vrijwilligers)"),"Vast tarief"),"")</f>
        <v/>
      </c>
      <c r="O453" s="90"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0"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1"/>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59"/>
      <c r="Z453" s="49"/>
      <c r="AA453" s="37" t="str" cm="1">
        <f t="array" ref="AA453">IFERROR(IF(INDEX(SubsidieTabel!$Q$1:$T$9,MATCH($F453,SubsidieTabel!$Q$1:$Q$9,0),IFERROR(MATCH(Methode_Keuze,SubsidieTabel!$Q$1:$T$1,0),2))&lt;&gt;1=TRUE,"ja",""),"")</f>
        <v/>
      </c>
    </row>
    <row r="454" spans="1:27" ht="15" customHeight="1" x14ac:dyDescent="0.25">
      <c r="A454" s="85"/>
      <c r="B454" s="217" t="str">
        <f>IF(A454&lt;&gt;"",_xlfn.MAXIFS($B$1:B453,$A$1:A453,A454)+1,"")</f>
        <v/>
      </c>
      <c r="C454" s="50"/>
      <c r="D454" s="50"/>
      <c r="E454" s="50"/>
      <c r="F454" s="50"/>
      <c r="G454" s="280"/>
      <c r="H454" s="293"/>
      <c r="I454" s="292"/>
      <c r="J454" s="292"/>
      <c r="K454" s="200"/>
      <c r="L454" s="200"/>
      <c r="M454" s="89" t="str">
        <f>IFERROR(VLOOKUP(H454,Lijsten!$H$1:$I$100,2,0),"")</f>
        <v/>
      </c>
      <c r="N454" s="89" t="str" cm="1">
        <f t="array" ref="N454">IFERROR(_xlfn.IFS(AND(LEFT(F454,6)="Arbeid",RIGHT(F454,3)&lt;&gt;"IKS"),IFERROR(VLOOKUP($G454,Tb_KostenTypen[],2,0),"tarief"),RIGHT(F454,3)="IKS","Uurtarief",LEFT(F454,6)="Arbeid","Uurtarief",AND(LEFT(F454,8)="Bijdrage",RIGHT(F454,15)="(vrijwilligers)"),"Vast tarief"),"")</f>
        <v/>
      </c>
      <c r="O454" s="90"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0"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1"/>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59"/>
      <c r="Z454" s="49"/>
      <c r="AA454" s="37" t="str" cm="1">
        <f t="array" ref="AA454">IFERROR(IF(INDEX(SubsidieTabel!$Q$1:$T$9,MATCH($F454,SubsidieTabel!$Q$1:$Q$9,0),IFERROR(MATCH(Methode_Keuze,SubsidieTabel!$Q$1:$T$1,0),2))&lt;&gt;1=TRUE,"ja",""),"")</f>
        <v/>
      </c>
    </row>
    <row r="455" spans="1:27" ht="15" customHeight="1" x14ac:dyDescent="0.25">
      <c r="A455" s="85"/>
      <c r="B455" s="217" t="str">
        <f>IF(A455&lt;&gt;"",_xlfn.MAXIFS($B$1:B454,$A$1:A454,A455)+1,"")</f>
        <v/>
      </c>
      <c r="C455" s="50"/>
      <c r="D455" s="50"/>
      <c r="E455" s="50"/>
      <c r="F455" s="50"/>
      <c r="G455" s="280"/>
      <c r="H455" s="293"/>
      <c r="I455" s="292"/>
      <c r="J455" s="292"/>
      <c r="K455" s="200"/>
      <c r="L455" s="200"/>
      <c r="M455" s="89" t="str">
        <f>IFERROR(VLOOKUP(H455,Lijsten!$H$1:$I$100,2,0),"")</f>
        <v/>
      </c>
      <c r="N455" s="89" t="str" cm="1">
        <f t="array" ref="N455">IFERROR(_xlfn.IFS(AND(LEFT(F455,6)="Arbeid",RIGHT(F455,3)&lt;&gt;"IKS"),IFERROR(VLOOKUP($G455,Tb_KostenTypen[],2,0),"tarief"),RIGHT(F455,3)="IKS","Uurtarief",LEFT(F455,6)="Arbeid","Uurtarief",AND(LEFT(F455,8)="Bijdrage",RIGHT(F455,15)="(vrijwilligers)"),"Vast tarief"),"")</f>
        <v/>
      </c>
      <c r="O455" s="90"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0"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1"/>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59"/>
      <c r="Z455" s="49"/>
      <c r="AA455" s="37" t="str" cm="1">
        <f t="array" ref="AA455">IFERROR(IF(INDEX(SubsidieTabel!$Q$1:$T$9,MATCH($F455,SubsidieTabel!$Q$1:$Q$9,0),IFERROR(MATCH(Methode_Keuze,SubsidieTabel!$Q$1:$T$1,0),2))&lt;&gt;1=TRUE,"ja",""),"")</f>
        <v/>
      </c>
    </row>
    <row r="456" spans="1:27" ht="15" customHeight="1" x14ac:dyDescent="0.25">
      <c r="A456" s="85"/>
      <c r="B456" s="217" t="str">
        <f>IF(A456&lt;&gt;"",_xlfn.MAXIFS($B$1:B455,$A$1:A455,A456)+1,"")</f>
        <v/>
      </c>
      <c r="C456" s="50"/>
      <c r="D456" s="50"/>
      <c r="E456" s="50"/>
      <c r="F456" s="50"/>
      <c r="G456" s="280"/>
      <c r="H456" s="293"/>
      <c r="I456" s="292"/>
      <c r="J456" s="292"/>
      <c r="K456" s="200"/>
      <c r="L456" s="200"/>
      <c r="M456" s="89" t="str">
        <f>IFERROR(VLOOKUP(H456,Lijsten!$H$1:$I$100,2,0),"")</f>
        <v/>
      </c>
      <c r="N456" s="89" t="str" cm="1">
        <f t="array" ref="N456">IFERROR(_xlfn.IFS(AND(LEFT(F456,6)="Arbeid",RIGHT(F456,3)&lt;&gt;"IKS"),IFERROR(VLOOKUP($G456,Tb_KostenTypen[],2,0),"tarief"),RIGHT(F456,3)="IKS","Uurtarief",LEFT(F456,6)="Arbeid","Uurtarief",AND(LEFT(F456,8)="Bijdrage",RIGHT(F456,15)="(vrijwilligers)"),"Vast tarief"),"")</f>
        <v/>
      </c>
      <c r="O456" s="90"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0"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1"/>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59"/>
      <c r="Z456" s="49"/>
      <c r="AA456" s="37" t="str" cm="1">
        <f t="array" ref="AA456">IFERROR(IF(INDEX(SubsidieTabel!$Q$1:$T$9,MATCH($F456,SubsidieTabel!$Q$1:$Q$9,0),IFERROR(MATCH(Methode_Keuze,SubsidieTabel!$Q$1:$T$1,0),2))&lt;&gt;1=TRUE,"ja",""),"")</f>
        <v/>
      </c>
    </row>
    <row r="457" spans="1:27" ht="15" customHeight="1" x14ac:dyDescent="0.25">
      <c r="A457" s="85"/>
      <c r="B457" s="217" t="str">
        <f>IF(A457&lt;&gt;"",_xlfn.MAXIFS($B$1:B456,$A$1:A456,A457)+1,"")</f>
        <v/>
      </c>
      <c r="C457" s="50"/>
      <c r="D457" s="50"/>
      <c r="E457" s="50"/>
      <c r="F457" s="50"/>
      <c r="G457" s="280"/>
      <c r="H457" s="293"/>
      <c r="I457" s="292"/>
      <c r="J457" s="292"/>
      <c r="K457" s="200"/>
      <c r="L457" s="200"/>
      <c r="M457" s="89" t="str">
        <f>IFERROR(VLOOKUP(H457,Lijsten!$H$1:$I$100,2,0),"")</f>
        <v/>
      </c>
      <c r="N457" s="89" t="str" cm="1">
        <f t="array" ref="N457">IFERROR(_xlfn.IFS(AND(LEFT(F457,6)="Arbeid",RIGHT(F457,3)&lt;&gt;"IKS"),IFERROR(VLOOKUP($G457,Tb_KostenTypen[],2,0),"tarief"),RIGHT(F457,3)="IKS","Uurtarief",LEFT(F457,6)="Arbeid","Uurtarief",AND(LEFT(F457,8)="Bijdrage",RIGHT(F457,15)="(vrijwilligers)"),"Vast tarief"),"")</f>
        <v/>
      </c>
      <c r="O457" s="90"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0"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1"/>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59"/>
      <c r="Z457" s="49"/>
      <c r="AA457" s="37" t="str" cm="1">
        <f t="array" ref="AA457">IFERROR(IF(INDEX(SubsidieTabel!$Q$1:$T$9,MATCH($F457,SubsidieTabel!$Q$1:$Q$9,0),IFERROR(MATCH(Methode_Keuze,SubsidieTabel!$Q$1:$T$1,0),2))&lt;&gt;1=TRUE,"ja",""),"")</f>
        <v/>
      </c>
    </row>
    <row r="458" spans="1:27" ht="15" customHeight="1" x14ac:dyDescent="0.25">
      <c r="A458" s="85"/>
      <c r="B458" s="217" t="str">
        <f>IF(A458&lt;&gt;"",_xlfn.MAXIFS($B$1:B457,$A$1:A457,A458)+1,"")</f>
        <v/>
      </c>
      <c r="C458" s="50"/>
      <c r="D458" s="50"/>
      <c r="E458" s="50"/>
      <c r="F458" s="50"/>
      <c r="G458" s="280"/>
      <c r="H458" s="293"/>
      <c r="I458" s="292"/>
      <c r="J458" s="292"/>
      <c r="K458" s="200"/>
      <c r="L458" s="200"/>
      <c r="M458" s="89" t="str">
        <f>IFERROR(VLOOKUP(H458,Lijsten!$H$1:$I$100,2,0),"")</f>
        <v/>
      </c>
      <c r="N458" s="89" t="str" cm="1">
        <f t="array" ref="N458">IFERROR(_xlfn.IFS(AND(LEFT(F458,6)="Arbeid",RIGHT(F458,3)&lt;&gt;"IKS"),IFERROR(VLOOKUP($G458,Tb_KostenTypen[],2,0),"tarief"),RIGHT(F458,3)="IKS","Uurtarief",LEFT(F458,6)="Arbeid","Uurtarief",AND(LEFT(F458,8)="Bijdrage",RIGHT(F458,15)="(vrijwilligers)"),"Vast tarief"),"")</f>
        <v/>
      </c>
      <c r="O458" s="90"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0"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1"/>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59"/>
      <c r="Z458" s="49"/>
      <c r="AA458" s="37" t="str" cm="1">
        <f t="array" ref="AA458">IFERROR(IF(INDEX(SubsidieTabel!$Q$1:$T$9,MATCH($F458,SubsidieTabel!$Q$1:$Q$9,0),IFERROR(MATCH(Methode_Keuze,SubsidieTabel!$Q$1:$T$1,0),2))&lt;&gt;1=TRUE,"ja",""),"")</f>
        <v/>
      </c>
    </row>
    <row r="459" spans="1:27" ht="15" customHeight="1" x14ac:dyDescent="0.25">
      <c r="A459" s="85"/>
      <c r="B459" s="217" t="str">
        <f>IF(A459&lt;&gt;"",_xlfn.MAXIFS($B$1:B458,$A$1:A458,A459)+1,"")</f>
        <v/>
      </c>
      <c r="C459" s="50"/>
      <c r="D459" s="50"/>
      <c r="E459" s="50"/>
      <c r="F459" s="50"/>
      <c r="G459" s="280"/>
      <c r="H459" s="293"/>
      <c r="I459" s="292"/>
      <c r="J459" s="292"/>
      <c r="K459" s="200"/>
      <c r="L459" s="200"/>
      <c r="M459" s="89" t="str">
        <f>IFERROR(VLOOKUP(H459,Lijsten!$H$1:$I$100,2,0),"")</f>
        <v/>
      </c>
      <c r="N459" s="89" t="str" cm="1">
        <f t="array" ref="N459">IFERROR(_xlfn.IFS(AND(LEFT(F459,6)="Arbeid",RIGHT(F459,3)&lt;&gt;"IKS"),IFERROR(VLOOKUP($G459,Tb_KostenTypen[],2,0),"tarief"),RIGHT(F459,3)="IKS","Uurtarief",LEFT(F459,6)="Arbeid","Uurtarief",AND(LEFT(F459,8)="Bijdrage",RIGHT(F459,15)="(vrijwilligers)"),"Vast tarief"),"")</f>
        <v/>
      </c>
      <c r="O459" s="90"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0"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1"/>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59"/>
      <c r="Z459" s="49"/>
      <c r="AA459" s="37" t="str" cm="1">
        <f t="array" ref="AA459">IFERROR(IF(INDEX(SubsidieTabel!$Q$1:$T$9,MATCH($F459,SubsidieTabel!$Q$1:$Q$9,0),IFERROR(MATCH(Methode_Keuze,SubsidieTabel!$Q$1:$T$1,0),2))&lt;&gt;1=TRUE,"ja",""),"")</f>
        <v/>
      </c>
    </row>
    <row r="460" spans="1:27" ht="15" customHeight="1" x14ac:dyDescent="0.25">
      <c r="A460" s="85"/>
      <c r="B460" s="217" t="str">
        <f>IF(A460&lt;&gt;"",_xlfn.MAXIFS($B$1:B459,$A$1:A459,A460)+1,"")</f>
        <v/>
      </c>
      <c r="C460" s="50"/>
      <c r="D460" s="50"/>
      <c r="E460" s="50"/>
      <c r="F460" s="50"/>
      <c r="G460" s="280"/>
      <c r="H460" s="293"/>
      <c r="I460" s="292"/>
      <c r="J460" s="292"/>
      <c r="K460" s="200"/>
      <c r="L460" s="200"/>
      <c r="M460" s="89" t="str">
        <f>IFERROR(VLOOKUP(H460,Lijsten!$H$1:$I$100,2,0),"")</f>
        <v/>
      </c>
      <c r="N460" s="89" t="str" cm="1">
        <f t="array" ref="N460">IFERROR(_xlfn.IFS(AND(LEFT(F460,6)="Arbeid",RIGHT(F460,3)&lt;&gt;"IKS"),IFERROR(VLOOKUP($G460,Tb_KostenTypen[],2,0),"tarief"),RIGHT(F460,3)="IKS","Uurtarief",LEFT(F460,6)="Arbeid","Uurtarief",AND(LEFT(F460,8)="Bijdrage",RIGHT(F460,15)="(vrijwilligers)"),"Vast tarief"),"")</f>
        <v/>
      </c>
      <c r="O460" s="90"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0"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1"/>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59"/>
      <c r="Z460" s="49"/>
      <c r="AA460" s="37" t="str" cm="1">
        <f t="array" ref="AA460">IFERROR(IF(INDEX(SubsidieTabel!$Q$1:$T$9,MATCH($F460,SubsidieTabel!$Q$1:$Q$9,0),IFERROR(MATCH(Methode_Keuze,SubsidieTabel!$Q$1:$T$1,0),2))&lt;&gt;1=TRUE,"ja",""),"")</f>
        <v/>
      </c>
    </row>
    <row r="461" spans="1:27" ht="15" customHeight="1" x14ac:dyDescent="0.25">
      <c r="A461" s="85"/>
      <c r="B461" s="217" t="str">
        <f>IF(A461&lt;&gt;"",_xlfn.MAXIFS($B$1:B460,$A$1:A460,A461)+1,"")</f>
        <v/>
      </c>
      <c r="C461" s="50"/>
      <c r="D461" s="50"/>
      <c r="E461" s="50"/>
      <c r="F461" s="50"/>
      <c r="G461" s="280"/>
      <c r="H461" s="293"/>
      <c r="I461" s="292"/>
      <c r="J461" s="292"/>
      <c r="K461" s="200"/>
      <c r="L461" s="200"/>
      <c r="M461" s="89" t="str">
        <f>IFERROR(VLOOKUP(H461,Lijsten!$H$1:$I$100,2,0),"")</f>
        <v/>
      </c>
      <c r="N461" s="89" t="str" cm="1">
        <f t="array" ref="N461">IFERROR(_xlfn.IFS(AND(LEFT(F461,6)="Arbeid",RIGHT(F461,3)&lt;&gt;"IKS"),IFERROR(VLOOKUP($G461,Tb_KostenTypen[],2,0),"tarief"),RIGHT(F461,3)="IKS","Uurtarief",LEFT(F461,6)="Arbeid","Uurtarief",AND(LEFT(F461,8)="Bijdrage",RIGHT(F461,15)="(vrijwilligers)"),"Vast tarief"),"")</f>
        <v/>
      </c>
      <c r="O461" s="90"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0"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1"/>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59"/>
      <c r="Z461" s="49"/>
      <c r="AA461" s="37" t="str" cm="1">
        <f t="array" ref="AA461">IFERROR(IF(INDEX(SubsidieTabel!$Q$1:$T$9,MATCH($F461,SubsidieTabel!$Q$1:$Q$9,0),IFERROR(MATCH(Methode_Keuze,SubsidieTabel!$Q$1:$T$1,0),2))&lt;&gt;1=TRUE,"ja",""),"")</f>
        <v/>
      </c>
    </row>
    <row r="462" spans="1:27" ht="15" customHeight="1" x14ac:dyDescent="0.25">
      <c r="A462" s="85"/>
      <c r="B462" s="217" t="str">
        <f>IF(A462&lt;&gt;"",_xlfn.MAXIFS($B$1:B461,$A$1:A461,A462)+1,"")</f>
        <v/>
      </c>
      <c r="C462" s="50"/>
      <c r="D462" s="50"/>
      <c r="E462" s="50"/>
      <c r="F462" s="50"/>
      <c r="G462" s="280"/>
      <c r="H462" s="293"/>
      <c r="I462" s="292"/>
      <c r="J462" s="292"/>
      <c r="K462" s="200"/>
      <c r="L462" s="200"/>
      <c r="M462" s="89" t="str">
        <f>IFERROR(VLOOKUP(H462,Lijsten!$H$1:$I$100,2,0),"")</f>
        <v/>
      </c>
      <c r="N462" s="89" t="str" cm="1">
        <f t="array" ref="N462">IFERROR(_xlfn.IFS(AND(LEFT(F462,6)="Arbeid",RIGHT(F462,3)&lt;&gt;"IKS"),IFERROR(VLOOKUP($G462,Tb_KostenTypen[],2,0),"tarief"),RIGHT(F462,3)="IKS","Uurtarief",LEFT(F462,6)="Arbeid","Uurtarief",AND(LEFT(F462,8)="Bijdrage",RIGHT(F462,15)="(vrijwilligers)"),"Vast tarief"),"")</f>
        <v/>
      </c>
      <c r="O462" s="90"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0"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1"/>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59"/>
      <c r="Z462" s="49"/>
      <c r="AA462" s="37" t="str" cm="1">
        <f t="array" ref="AA462">IFERROR(IF(INDEX(SubsidieTabel!$Q$1:$T$9,MATCH($F462,SubsidieTabel!$Q$1:$Q$9,0),IFERROR(MATCH(Methode_Keuze,SubsidieTabel!$Q$1:$T$1,0),2))&lt;&gt;1=TRUE,"ja",""),"")</f>
        <v/>
      </c>
    </row>
    <row r="463" spans="1:27" ht="15" customHeight="1" x14ac:dyDescent="0.25">
      <c r="A463" s="85"/>
      <c r="B463" s="217" t="str">
        <f>IF(A463&lt;&gt;"",_xlfn.MAXIFS($B$1:B462,$A$1:A462,A463)+1,"")</f>
        <v/>
      </c>
      <c r="C463" s="50"/>
      <c r="D463" s="50"/>
      <c r="E463" s="50"/>
      <c r="F463" s="50"/>
      <c r="G463" s="280"/>
      <c r="H463" s="293"/>
      <c r="I463" s="292"/>
      <c r="J463" s="292"/>
      <c r="K463" s="200"/>
      <c r="L463" s="200"/>
      <c r="M463" s="89" t="str">
        <f>IFERROR(VLOOKUP(H463,Lijsten!$H$1:$I$100,2,0),"")</f>
        <v/>
      </c>
      <c r="N463" s="89" t="str" cm="1">
        <f t="array" ref="N463">IFERROR(_xlfn.IFS(AND(LEFT(F463,6)="Arbeid",RIGHT(F463,3)&lt;&gt;"IKS"),IFERROR(VLOOKUP($G463,Tb_KostenTypen[],2,0),"tarief"),RIGHT(F463,3)="IKS","Uurtarief",LEFT(F463,6)="Arbeid","Uurtarief",AND(LEFT(F463,8)="Bijdrage",RIGHT(F463,15)="(vrijwilligers)"),"Vast tarief"),"")</f>
        <v/>
      </c>
      <c r="O463" s="90"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0"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1"/>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59"/>
      <c r="Z463" s="49"/>
      <c r="AA463" s="37" t="str" cm="1">
        <f t="array" ref="AA463">IFERROR(IF(INDEX(SubsidieTabel!$Q$1:$T$9,MATCH($F463,SubsidieTabel!$Q$1:$Q$9,0),IFERROR(MATCH(Methode_Keuze,SubsidieTabel!$Q$1:$T$1,0),2))&lt;&gt;1=TRUE,"ja",""),"")</f>
        <v/>
      </c>
    </row>
    <row r="464" spans="1:27" ht="15" customHeight="1" x14ac:dyDescent="0.25">
      <c r="A464" s="85"/>
      <c r="B464" s="217" t="str">
        <f>IF(A464&lt;&gt;"",_xlfn.MAXIFS($B$1:B463,$A$1:A463,A464)+1,"")</f>
        <v/>
      </c>
      <c r="C464" s="50"/>
      <c r="D464" s="50"/>
      <c r="E464" s="50"/>
      <c r="F464" s="50"/>
      <c r="G464" s="280"/>
      <c r="H464" s="293"/>
      <c r="I464" s="292"/>
      <c r="J464" s="292"/>
      <c r="K464" s="200"/>
      <c r="L464" s="200"/>
      <c r="M464" s="89" t="str">
        <f>IFERROR(VLOOKUP(H464,Lijsten!$H$1:$I$100,2,0),"")</f>
        <v/>
      </c>
      <c r="N464" s="89" t="str" cm="1">
        <f t="array" ref="N464">IFERROR(_xlfn.IFS(AND(LEFT(F464,6)="Arbeid",RIGHT(F464,3)&lt;&gt;"IKS"),IFERROR(VLOOKUP($G464,Tb_KostenTypen[],2,0),"tarief"),RIGHT(F464,3)="IKS","Uurtarief",LEFT(F464,6)="Arbeid","Uurtarief",AND(LEFT(F464,8)="Bijdrage",RIGHT(F464,15)="(vrijwilligers)"),"Vast tarief"),"")</f>
        <v/>
      </c>
      <c r="O464" s="90"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0"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1"/>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59"/>
      <c r="Z464" s="49"/>
      <c r="AA464" s="37" t="str" cm="1">
        <f t="array" ref="AA464">IFERROR(IF(INDEX(SubsidieTabel!$Q$1:$T$9,MATCH($F464,SubsidieTabel!$Q$1:$Q$9,0),IFERROR(MATCH(Methode_Keuze,SubsidieTabel!$Q$1:$T$1,0),2))&lt;&gt;1=TRUE,"ja",""),"")</f>
        <v/>
      </c>
    </row>
    <row r="465" spans="1:27" ht="15" customHeight="1" x14ac:dyDescent="0.25">
      <c r="A465" s="85"/>
      <c r="B465" s="217" t="str">
        <f>IF(A465&lt;&gt;"",_xlfn.MAXIFS($B$1:B464,$A$1:A464,A465)+1,"")</f>
        <v/>
      </c>
      <c r="C465" s="50"/>
      <c r="D465" s="50"/>
      <c r="E465" s="50"/>
      <c r="F465" s="50"/>
      <c r="G465" s="280"/>
      <c r="H465" s="293"/>
      <c r="I465" s="292"/>
      <c r="J465" s="292"/>
      <c r="K465" s="200"/>
      <c r="L465" s="200"/>
      <c r="M465" s="89" t="str">
        <f>IFERROR(VLOOKUP(H465,Lijsten!$H$1:$I$100,2,0),"")</f>
        <v/>
      </c>
      <c r="N465" s="89" t="str" cm="1">
        <f t="array" ref="N465">IFERROR(_xlfn.IFS(AND(LEFT(F465,6)="Arbeid",RIGHT(F465,3)&lt;&gt;"IKS"),IFERROR(VLOOKUP($G465,Tb_KostenTypen[],2,0),"tarief"),RIGHT(F465,3)="IKS","Uurtarief",LEFT(F465,6)="Arbeid","Uurtarief",AND(LEFT(F465,8)="Bijdrage",RIGHT(F465,15)="(vrijwilligers)"),"Vast tarief"),"")</f>
        <v/>
      </c>
      <c r="O465" s="90"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0"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1"/>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59"/>
      <c r="Z465" s="49"/>
      <c r="AA465" s="37" t="str" cm="1">
        <f t="array" ref="AA465">IFERROR(IF(INDEX(SubsidieTabel!$Q$1:$T$9,MATCH($F465,SubsidieTabel!$Q$1:$Q$9,0),IFERROR(MATCH(Methode_Keuze,SubsidieTabel!$Q$1:$T$1,0),2))&lt;&gt;1=TRUE,"ja",""),"")</f>
        <v/>
      </c>
    </row>
    <row r="466" spans="1:27" ht="15" customHeight="1" x14ac:dyDescent="0.25">
      <c r="A466" s="85"/>
      <c r="B466" s="217" t="str">
        <f>IF(A466&lt;&gt;"",_xlfn.MAXIFS($B$1:B465,$A$1:A465,A466)+1,"")</f>
        <v/>
      </c>
      <c r="C466" s="50"/>
      <c r="D466" s="50"/>
      <c r="E466" s="50"/>
      <c r="F466" s="50"/>
      <c r="G466" s="280"/>
      <c r="H466" s="293"/>
      <c r="I466" s="292"/>
      <c r="J466" s="292"/>
      <c r="K466" s="200"/>
      <c r="L466" s="200"/>
      <c r="M466" s="89" t="str">
        <f>IFERROR(VLOOKUP(H466,Lijsten!$H$1:$I$100,2,0),"")</f>
        <v/>
      </c>
      <c r="N466" s="89" t="str" cm="1">
        <f t="array" ref="N466">IFERROR(_xlfn.IFS(AND(LEFT(F466,6)="Arbeid",RIGHT(F466,3)&lt;&gt;"IKS"),IFERROR(VLOOKUP($G466,Tb_KostenTypen[],2,0),"tarief"),RIGHT(F466,3)="IKS","Uurtarief",LEFT(F466,6)="Arbeid","Uurtarief",AND(LEFT(F466,8)="Bijdrage",RIGHT(F466,15)="(vrijwilligers)"),"Vast tarief"),"")</f>
        <v/>
      </c>
      <c r="O466" s="90"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0"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1"/>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59"/>
      <c r="Z466" s="49"/>
      <c r="AA466" s="37" t="str" cm="1">
        <f t="array" ref="AA466">IFERROR(IF(INDEX(SubsidieTabel!$Q$1:$T$9,MATCH($F466,SubsidieTabel!$Q$1:$Q$9,0),IFERROR(MATCH(Methode_Keuze,SubsidieTabel!$Q$1:$T$1,0),2))&lt;&gt;1=TRUE,"ja",""),"")</f>
        <v/>
      </c>
    </row>
    <row r="467" spans="1:27" ht="15" customHeight="1" x14ac:dyDescent="0.25">
      <c r="A467" s="85"/>
      <c r="B467" s="217" t="str">
        <f>IF(A467&lt;&gt;"",_xlfn.MAXIFS($B$1:B466,$A$1:A466,A467)+1,"")</f>
        <v/>
      </c>
      <c r="C467" s="50"/>
      <c r="D467" s="50"/>
      <c r="E467" s="50"/>
      <c r="F467" s="50"/>
      <c r="G467" s="280"/>
      <c r="H467" s="293"/>
      <c r="I467" s="292"/>
      <c r="J467" s="292"/>
      <c r="K467" s="200"/>
      <c r="L467" s="200"/>
      <c r="M467" s="89" t="str">
        <f>IFERROR(VLOOKUP(H467,Lijsten!$H$1:$I$100,2,0),"")</f>
        <v/>
      </c>
      <c r="N467" s="89" t="str" cm="1">
        <f t="array" ref="N467">IFERROR(_xlfn.IFS(AND(LEFT(F467,6)="Arbeid",RIGHT(F467,3)&lt;&gt;"IKS"),IFERROR(VLOOKUP($G467,Tb_KostenTypen[],2,0),"tarief"),RIGHT(F467,3)="IKS","Uurtarief",LEFT(F467,6)="Arbeid","Uurtarief",AND(LEFT(F467,8)="Bijdrage",RIGHT(F467,15)="(vrijwilligers)"),"Vast tarief"),"")</f>
        <v/>
      </c>
      <c r="O467" s="90"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0"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1"/>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59"/>
      <c r="Z467" s="49"/>
      <c r="AA467" s="37" t="str" cm="1">
        <f t="array" ref="AA467">IFERROR(IF(INDEX(SubsidieTabel!$Q$1:$T$9,MATCH($F467,SubsidieTabel!$Q$1:$Q$9,0),IFERROR(MATCH(Methode_Keuze,SubsidieTabel!$Q$1:$T$1,0),2))&lt;&gt;1=TRUE,"ja",""),"")</f>
        <v/>
      </c>
    </row>
    <row r="468" spans="1:27" ht="15" customHeight="1" x14ac:dyDescent="0.25">
      <c r="A468" s="85"/>
      <c r="B468" s="217" t="str">
        <f>IF(A468&lt;&gt;"",_xlfn.MAXIFS($B$1:B467,$A$1:A467,A468)+1,"")</f>
        <v/>
      </c>
      <c r="C468" s="50"/>
      <c r="D468" s="50"/>
      <c r="E468" s="50"/>
      <c r="F468" s="50"/>
      <c r="G468" s="280"/>
      <c r="H468" s="293"/>
      <c r="I468" s="292"/>
      <c r="J468" s="292"/>
      <c r="K468" s="200"/>
      <c r="L468" s="200"/>
      <c r="M468" s="89" t="str">
        <f>IFERROR(VLOOKUP(H468,Lijsten!$H$1:$I$100,2,0),"")</f>
        <v/>
      </c>
      <c r="N468" s="89" t="str" cm="1">
        <f t="array" ref="N468">IFERROR(_xlfn.IFS(AND(LEFT(F468,6)="Arbeid",RIGHT(F468,3)&lt;&gt;"IKS"),IFERROR(VLOOKUP($G468,Tb_KostenTypen[],2,0),"tarief"),RIGHT(F468,3)="IKS","Uurtarief",LEFT(F468,6)="Arbeid","Uurtarief",AND(LEFT(F468,8)="Bijdrage",RIGHT(F468,15)="(vrijwilligers)"),"Vast tarief"),"")</f>
        <v/>
      </c>
      <c r="O468" s="90"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0"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1"/>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59"/>
      <c r="Z468" s="49"/>
      <c r="AA468" s="37" t="str" cm="1">
        <f t="array" ref="AA468">IFERROR(IF(INDEX(SubsidieTabel!$Q$1:$T$9,MATCH($F468,SubsidieTabel!$Q$1:$Q$9,0),IFERROR(MATCH(Methode_Keuze,SubsidieTabel!$Q$1:$T$1,0),2))&lt;&gt;1=TRUE,"ja",""),"")</f>
        <v/>
      </c>
    </row>
    <row r="469" spans="1:27" ht="15" customHeight="1" x14ac:dyDescent="0.25">
      <c r="A469" s="85"/>
      <c r="B469" s="217" t="str">
        <f>IF(A469&lt;&gt;"",_xlfn.MAXIFS($B$1:B468,$A$1:A468,A469)+1,"")</f>
        <v/>
      </c>
      <c r="C469" s="50"/>
      <c r="D469" s="50"/>
      <c r="E469" s="50"/>
      <c r="F469" s="50"/>
      <c r="G469" s="280"/>
      <c r="H469" s="293"/>
      <c r="I469" s="292"/>
      <c r="J469" s="292"/>
      <c r="K469" s="200"/>
      <c r="L469" s="200"/>
      <c r="M469" s="89" t="str">
        <f>IFERROR(VLOOKUP(H469,Lijsten!$H$1:$I$100,2,0),"")</f>
        <v/>
      </c>
      <c r="N469" s="89" t="str" cm="1">
        <f t="array" ref="N469">IFERROR(_xlfn.IFS(AND(LEFT(F469,6)="Arbeid",RIGHT(F469,3)&lt;&gt;"IKS"),IFERROR(VLOOKUP($G469,Tb_KostenTypen[],2,0),"tarief"),RIGHT(F469,3)="IKS","Uurtarief",LEFT(F469,6)="Arbeid","Uurtarief",AND(LEFT(F469,8)="Bijdrage",RIGHT(F469,15)="(vrijwilligers)"),"Vast tarief"),"")</f>
        <v/>
      </c>
      <c r="O469" s="90"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0"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1"/>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59"/>
      <c r="Z469" s="49"/>
      <c r="AA469" s="37" t="str" cm="1">
        <f t="array" ref="AA469">IFERROR(IF(INDEX(SubsidieTabel!$Q$1:$T$9,MATCH($F469,SubsidieTabel!$Q$1:$Q$9,0),IFERROR(MATCH(Methode_Keuze,SubsidieTabel!$Q$1:$T$1,0),2))&lt;&gt;1=TRUE,"ja",""),"")</f>
        <v/>
      </c>
    </row>
    <row r="470" spans="1:27" ht="15" customHeight="1" x14ac:dyDescent="0.25">
      <c r="A470" s="85"/>
      <c r="B470" s="217" t="str">
        <f>IF(A470&lt;&gt;"",_xlfn.MAXIFS($B$1:B469,$A$1:A469,A470)+1,"")</f>
        <v/>
      </c>
      <c r="C470" s="50"/>
      <c r="D470" s="50"/>
      <c r="E470" s="50"/>
      <c r="F470" s="50"/>
      <c r="G470" s="280"/>
      <c r="H470" s="293"/>
      <c r="I470" s="292"/>
      <c r="J470" s="292"/>
      <c r="K470" s="200"/>
      <c r="L470" s="200"/>
      <c r="M470" s="89" t="str">
        <f>IFERROR(VLOOKUP(H470,Lijsten!$H$1:$I$100,2,0),"")</f>
        <v/>
      </c>
      <c r="N470" s="89" t="str" cm="1">
        <f t="array" ref="N470">IFERROR(_xlfn.IFS(AND(LEFT(F470,6)="Arbeid",RIGHT(F470,3)&lt;&gt;"IKS"),IFERROR(VLOOKUP($G470,Tb_KostenTypen[],2,0),"tarief"),RIGHT(F470,3)="IKS","Uurtarief",LEFT(F470,6)="Arbeid","Uurtarief",AND(LEFT(F470,8)="Bijdrage",RIGHT(F470,15)="(vrijwilligers)"),"Vast tarief"),"")</f>
        <v/>
      </c>
      <c r="O470" s="90"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0"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1"/>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59"/>
      <c r="Z470" s="49"/>
      <c r="AA470" s="37" t="str" cm="1">
        <f t="array" ref="AA470">IFERROR(IF(INDEX(SubsidieTabel!$Q$1:$T$9,MATCH($F470,SubsidieTabel!$Q$1:$Q$9,0),IFERROR(MATCH(Methode_Keuze,SubsidieTabel!$Q$1:$T$1,0),2))&lt;&gt;1=TRUE,"ja",""),"")</f>
        <v/>
      </c>
    </row>
    <row r="471" spans="1:27" ht="15" customHeight="1" x14ac:dyDescent="0.25">
      <c r="A471" s="85"/>
      <c r="B471" s="217" t="str">
        <f>IF(A471&lt;&gt;"",_xlfn.MAXIFS($B$1:B470,$A$1:A470,A471)+1,"")</f>
        <v/>
      </c>
      <c r="C471" s="50"/>
      <c r="D471" s="50"/>
      <c r="E471" s="50"/>
      <c r="F471" s="50"/>
      <c r="G471" s="280"/>
      <c r="H471" s="293"/>
      <c r="I471" s="292"/>
      <c r="J471" s="292"/>
      <c r="K471" s="200"/>
      <c r="L471" s="200"/>
      <c r="M471" s="89" t="str">
        <f>IFERROR(VLOOKUP(H471,Lijsten!$H$1:$I$100,2,0),"")</f>
        <v/>
      </c>
      <c r="N471" s="89" t="str" cm="1">
        <f t="array" ref="N471">IFERROR(_xlfn.IFS(AND(LEFT(F471,6)="Arbeid",RIGHT(F471,3)&lt;&gt;"IKS"),IFERROR(VLOOKUP($G471,Tb_KostenTypen[],2,0),"tarief"),RIGHT(F471,3)="IKS","Uurtarief",LEFT(F471,6)="Arbeid","Uurtarief",AND(LEFT(F471,8)="Bijdrage",RIGHT(F471,15)="(vrijwilligers)"),"Vast tarief"),"")</f>
        <v/>
      </c>
      <c r="O471" s="90"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0"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1"/>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59"/>
      <c r="Z471" s="49"/>
      <c r="AA471" s="37" t="str" cm="1">
        <f t="array" ref="AA471">IFERROR(IF(INDEX(SubsidieTabel!$Q$1:$T$9,MATCH($F471,SubsidieTabel!$Q$1:$Q$9,0),IFERROR(MATCH(Methode_Keuze,SubsidieTabel!$Q$1:$T$1,0),2))&lt;&gt;1=TRUE,"ja",""),"")</f>
        <v/>
      </c>
    </row>
    <row r="472" spans="1:27" ht="15" customHeight="1" x14ac:dyDescent="0.25">
      <c r="A472" s="85"/>
      <c r="B472" s="217" t="str">
        <f>IF(A472&lt;&gt;"",_xlfn.MAXIFS($B$1:B471,$A$1:A471,A472)+1,"")</f>
        <v/>
      </c>
      <c r="C472" s="50"/>
      <c r="D472" s="50"/>
      <c r="E472" s="50"/>
      <c r="F472" s="50"/>
      <c r="G472" s="280"/>
      <c r="H472" s="293"/>
      <c r="I472" s="292"/>
      <c r="J472" s="292"/>
      <c r="K472" s="200"/>
      <c r="L472" s="200"/>
      <c r="M472" s="89" t="str">
        <f>IFERROR(VLOOKUP(H472,Lijsten!$H$1:$I$100,2,0),"")</f>
        <v/>
      </c>
      <c r="N472" s="89" t="str" cm="1">
        <f t="array" ref="N472">IFERROR(_xlfn.IFS(AND(LEFT(F472,6)="Arbeid",RIGHT(F472,3)&lt;&gt;"IKS"),IFERROR(VLOOKUP($G472,Tb_KostenTypen[],2,0),"tarief"),RIGHT(F472,3)="IKS","Uurtarief",LEFT(F472,6)="Arbeid","Uurtarief",AND(LEFT(F472,8)="Bijdrage",RIGHT(F472,15)="(vrijwilligers)"),"Vast tarief"),"")</f>
        <v/>
      </c>
      <c r="O472" s="90"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0"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1"/>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59"/>
      <c r="Z472" s="49"/>
      <c r="AA472" s="37" t="str" cm="1">
        <f t="array" ref="AA472">IFERROR(IF(INDEX(SubsidieTabel!$Q$1:$T$9,MATCH($F472,SubsidieTabel!$Q$1:$Q$9,0),IFERROR(MATCH(Methode_Keuze,SubsidieTabel!$Q$1:$T$1,0),2))&lt;&gt;1=TRUE,"ja",""),"")</f>
        <v/>
      </c>
    </row>
    <row r="473" spans="1:27" ht="15" customHeight="1" x14ac:dyDescent="0.25">
      <c r="A473" s="85"/>
      <c r="B473" s="217" t="str">
        <f>IF(A473&lt;&gt;"",_xlfn.MAXIFS($B$1:B472,$A$1:A472,A473)+1,"")</f>
        <v/>
      </c>
      <c r="C473" s="50"/>
      <c r="D473" s="50"/>
      <c r="E473" s="50"/>
      <c r="F473" s="50"/>
      <c r="G473" s="280"/>
      <c r="H473" s="293"/>
      <c r="I473" s="292"/>
      <c r="J473" s="292"/>
      <c r="K473" s="200"/>
      <c r="L473" s="200"/>
      <c r="M473" s="89" t="str">
        <f>IFERROR(VLOOKUP(H473,Lijsten!$H$1:$I$100,2,0),"")</f>
        <v/>
      </c>
      <c r="N473" s="89" t="str" cm="1">
        <f t="array" ref="N473">IFERROR(_xlfn.IFS(AND(LEFT(F473,6)="Arbeid",RIGHT(F473,3)&lt;&gt;"IKS"),IFERROR(VLOOKUP($G473,Tb_KostenTypen[],2,0),"tarief"),RIGHT(F473,3)="IKS","Uurtarief",LEFT(F473,6)="Arbeid","Uurtarief",AND(LEFT(F473,8)="Bijdrage",RIGHT(F473,15)="(vrijwilligers)"),"Vast tarief"),"")</f>
        <v/>
      </c>
      <c r="O473" s="90"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0"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1"/>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59"/>
      <c r="Z473" s="49"/>
      <c r="AA473" s="37" t="str" cm="1">
        <f t="array" ref="AA473">IFERROR(IF(INDEX(SubsidieTabel!$Q$1:$T$9,MATCH($F473,SubsidieTabel!$Q$1:$Q$9,0),IFERROR(MATCH(Methode_Keuze,SubsidieTabel!$Q$1:$T$1,0),2))&lt;&gt;1=TRUE,"ja",""),"")</f>
        <v/>
      </c>
    </row>
    <row r="474" spans="1:27" ht="15" customHeight="1" x14ac:dyDescent="0.25">
      <c r="A474" s="85"/>
      <c r="B474" s="217" t="str">
        <f>IF(A474&lt;&gt;"",_xlfn.MAXIFS($B$1:B473,$A$1:A473,A474)+1,"")</f>
        <v/>
      </c>
      <c r="C474" s="50"/>
      <c r="D474" s="50"/>
      <c r="E474" s="50"/>
      <c r="F474" s="50"/>
      <c r="G474" s="280"/>
      <c r="H474" s="293"/>
      <c r="I474" s="292"/>
      <c r="J474" s="292"/>
      <c r="K474" s="200"/>
      <c r="L474" s="200"/>
      <c r="M474" s="89" t="str">
        <f>IFERROR(VLOOKUP(H474,Lijsten!$H$1:$I$100,2,0),"")</f>
        <v/>
      </c>
      <c r="N474" s="89" t="str" cm="1">
        <f t="array" ref="N474">IFERROR(_xlfn.IFS(AND(LEFT(F474,6)="Arbeid",RIGHT(F474,3)&lt;&gt;"IKS"),IFERROR(VLOOKUP($G474,Tb_KostenTypen[],2,0),"tarief"),RIGHT(F474,3)="IKS","Uurtarief",LEFT(F474,6)="Arbeid","Uurtarief",AND(LEFT(F474,8)="Bijdrage",RIGHT(F474,15)="(vrijwilligers)"),"Vast tarief"),"")</f>
        <v/>
      </c>
      <c r="O474" s="90"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0"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1"/>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59"/>
      <c r="Z474" s="49"/>
      <c r="AA474" s="37" t="str" cm="1">
        <f t="array" ref="AA474">IFERROR(IF(INDEX(SubsidieTabel!$Q$1:$T$9,MATCH($F474,SubsidieTabel!$Q$1:$Q$9,0),IFERROR(MATCH(Methode_Keuze,SubsidieTabel!$Q$1:$T$1,0),2))&lt;&gt;1=TRUE,"ja",""),"")</f>
        <v/>
      </c>
    </row>
    <row r="475" spans="1:27" ht="15" customHeight="1" x14ac:dyDescent="0.25">
      <c r="A475" s="85"/>
      <c r="B475" s="217" t="str">
        <f>IF(A475&lt;&gt;"",_xlfn.MAXIFS($B$1:B474,$A$1:A474,A475)+1,"")</f>
        <v/>
      </c>
      <c r="C475" s="50"/>
      <c r="D475" s="50"/>
      <c r="E475" s="50"/>
      <c r="F475" s="50"/>
      <c r="G475" s="280"/>
      <c r="H475" s="293"/>
      <c r="I475" s="292"/>
      <c r="J475" s="292"/>
      <c r="K475" s="200"/>
      <c r="L475" s="200"/>
      <c r="M475" s="89" t="str">
        <f>IFERROR(VLOOKUP(H475,Lijsten!$H$1:$I$100,2,0),"")</f>
        <v/>
      </c>
      <c r="N475" s="89" t="str" cm="1">
        <f t="array" ref="N475">IFERROR(_xlfn.IFS(AND(LEFT(F475,6)="Arbeid",RIGHT(F475,3)&lt;&gt;"IKS"),IFERROR(VLOOKUP($G475,Tb_KostenTypen[],2,0),"tarief"),RIGHT(F475,3)="IKS","Uurtarief",LEFT(F475,6)="Arbeid","Uurtarief",AND(LEFT(F475,8)="Bijdrage",RIGHT(F475,15)="(vrijwilligers)"),"Vast tarief"),"")</f>
        <v/>
      </c>
      <c r="O475" s="90"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0"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1"/>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59"/>
      <c r="Z475" s="49"/>
      <c r="AA475" s="37" t="str" cm="1">
        <f t="array" ref="AA475">IFERROR(IF(INDEX(SubsidieTabel!$Q$1:$T$9,MATCH($F475,SubsidieTabel!$Q$1:$Q$9,0),IFERROR(MATCH(Methode_Keuze,SubsidieTabel!$Q$1:$T$1,0),2))&lt;&gt;1=TRUE,"ja",""),"")</f>
        <v/>
      </c>
    </row>
    <row r="476" spans="1:27" ht="15" customHeight="1" x14ac:dyDescent="0.25">
      <c r="A476" s="85"/>
      <c r="B476" s="217" t="str">
        <f>IF(A476&lt;&gt;"",_xlfn.MAXIFS($B$1:B475,$A$1:A475,A476)+1,"")</f>
        <v/>
      </c>
      <c r="C476" s="50"/>
      <c r="D476" s="50"/>
      <c r="E476" s="50"/>
      <c r="F476" s="50"/>
      <c r="G476" s="280"/>
      <c r="H476" s="293"/>
      <c r="I476" s="292"/>
      <c r="J476" s="292"/>
      <c r="K476" s="200"/>
      <c r="L476" s="200"/>
      <c r="M476" s="89" t="str">
        <f>IFERROR(VLOOKUP(H476,Lijsten!$H$1:$I$100,2,0),"")</f>
        <v/>
      </c>
      <c r="N476" s="89" t="str" cm="1">
        <f t="array" ref="N476">IFERROR(_xlfn.IFS(AND(LEFT(F476,6)="Arbeid",RIGHT(F476,3)&lt;&gt;"IKS"),IFERROR(VLOOKUP($G476,Tb_KostenTypen[],2,0),"tarief"),RIGHT(F476,3)="IKS","Uurtarief",LEFT(F476,6)="Arbeid","Uurtarief",AND(LEFT(F476,8)="Bijdrage",RIGHT(F476,15)="(vrijwilligers)"),"Vast tarief"),"")</f>
        <v/>
      </c>
      <c r="O476" s="90"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0"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1"/>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59"/>
      <c r="Z476" s="49"/>
      <c r="AA476" s="37" t="str" cm="1">
        <f t="array" ref="AA476">IFERROR(IF(INDEX(SubsidieTabel!$Q$1:$T$9,MATCH($F476,SubsidieTabel!$Q$1:$Q$9,0),IFERROR(MATCH(Methode_Keuze,SubsidieTabel!$Q$1:$T$1,0),2))&lt;&gt;1=TRUE,"ja",""),"")</f>
        <v/>
      </c>
    </row>
    <row r="477" spans="1:27" ht="15" customHeight="1" x14ac:dyDescent="0.25">
      <c r="A477" s="85"/>
      <c r="B477" s="217" t="str">
        <f>IF(A477&lt;&gt;"",_xlfn.MAXIFS($B$1:B476,$A$1:A476,A477)+1,"")</f>
        <v/>
      </c>
      <c r="C477" s="50"/>
      <c r="D477" s="50"/>
      <c r="E477" s="50"/>
      <c r="F477" s="50"/>
      <c r="G477" s="280"/>
      <c r="H477" s="293"/>
      <c r="I477" s="292"/>
      <c r="J477" s="292"/>
      <c r="K477" s="200"/>
      <c r="L477" s="200"/>
      <c r="M477" s="89" t="str">
        <f>IFERROR(VLOOKUP(H477,Lijsten!$H$1:$I$100,2,0),"")</f>
        <v/>
      </c>
      <c r="N477" s="89" t="str" cm="1">
        <f t="array" ref="N477">IFERROR(_xlfn.IFS(AND(LEFT(F477,6)="Arbeid",RIGHT(F477,3)&lt;&gt;"IKS"),IFERROR(VLOOKUP($G477,Tb_KostenTypen[],2,0),"tarief"),RIGHT(F477,3)="IKS","Uurtarief",LEFT(F477,6)="Arbeid","Uurtarief",AND(LEFT(F477,8)="Bijdrage",RIGHT(F477,15)="(vrijwilligers)"),"Vast tarief"),"")</f>
        <v/>
      </c>
      <c r="O477" s="90"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0"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1"/>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59"/>
      <c r="Z477" s="49"/>
      <c r="AA477" s="37" t="str" cm="1">
        <f t="array" ref="AA477">IFERROR(IF(INDEX(SubsidieTabel!$Q$1:$T$9,MATCH($F477,SubsidieTabel!$Q$1:$Q$9,0),IFERROR(MATCH(Methode_Keuze,SubsidieTabel!$Q$1:$T$1,0),2))&lt;&gt;1=TRUE,"ja",""),"")</f>
        <v/>
      </c>
    </row>
    <row r="478" spans="1:27" ht="15" customHeight="1" x14ac:dyDescent="0.25">
      <c r="A478" s="85"/>
      <c r="B478" s="217" t="str">
        <f>IF(A478&lt;&gt;"",_xlfn.MAXIFS($B$1:B477,$A$1:A477,A478)+1,"")</f>
        <v/>
      </c>
      <c r="C478" s="50"/>
      <c r="D478" s="50"/>
      <c r="E478" s="50"/>
      <c r="F478" s="50"/>
      <c r="G478" s="280"/>
      <c r="H478" s="293"/>
      <c r="I478" s="292"/>
      <c r="J478" s="292"/>
      <c r="K478" s="200"/>
      <c r="L478" s="200"/>
      <c r="M478" s="89" t="str">
        <f>IFERROR(VLOOKUP(H478,Lijsten!$H$1:$I$100,2,0),"")</f>
        <v/>
      </c>
      <c r="N478" s="89" t="str" cm="1">
        <f t="array" ref="N478">IFERROR(_xlfn.IFS(AND(LEFT(F478,6)="Arbeid",RIGHT(F478,3)&lt;&gt;"IKS"),IFERROR(VLOOKUP($G478,Tb_KostenTypen[],2,0),"tarief"),RIGHT(F478,3)="IKS","Uurtarief",LEFT(F478,6)="Arbeid","Uurtarief",AND(LEFT(F478,8)="Bijdrage",RIGHT(F478,15)="(vrijwilligers)"),"Vast tarief"),"")</f>
        <v/>
      </c>
      <c r="O478" s="90"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0"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1"/>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59"/>
      <c r="Z478" s="49"/>
      <c r="AA478" s="37" t="str" cm="1">
        <f t="array" ref="AA478">IFERROR(IF(INDEX(SubsidieTabel!$Q$1:$T$9,MATCH($F478,SubsidieTabel!$Q$1:$Q$9,0),IFERROR(MATCH(Methode_Keuze,SubsidieTabel!$Q$1:$T$1,0),2))&lt;&gt;1=TRUE,"ja",""),"")</f>
        <v/>
      </c>
    </row>
    <row r="479" spans="1:27" ht="15" customHeight="1" x14ac:dyDescent="0.25">
      <c r="A479" s="85"/>
      <c r="B479" s="217" t="str">
        <f>IF(A479&lt;&gt;"",_xlfn.MAXIFS($B$1:B478,$A$1:A478,A479)+1,"")</f>
        <v/>
      </c>
      <c r="C479" s="50"/>
      <c r="D479" s="50"/>
      <c r="E479" s="50"/>
      <c r="F479" s="50"/>
      <c r="G479" s="280"/>
      <c r="H479" s="293"/>
      <c r="I479" s="292"/>
      <c r="J479" s="292"/>
      <c r="K479" s="200"/>
      <c r="L479" s="200"/>
      <c r="M479" s="89" t="str">
        <f>IFERROR(VLOOKUP(H479,Lijsten!$H$1:$I$100,2,0),"")</f>
        <v/>
      </c>
      <c r="N479" s="89" t="str" cm="1">
        <f t="array" ref="N479">IFERROR(_xlfn.IFS(AND(LEFT(F479,6)="Arbeid",RIGHT(F479,3)&lt;&gt;"IKS"),IFERROR(VLOOKUP($G479,Tb_KostenTypen[],2,0),"tarief"),RIGHT(F479,3)="IKS","Uurtarief",LEFT(F479,6)="Arbeid","Uurtarief",AND(LEFT(F479,8)="Bijdrage",RIGHT(F479,15)="(vrijwilligers)"),"Vast tarief"),"")</f>
        <v/>
      </c>
      <c r="O479" s="90"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0"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1"/>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59"/>
      <c r="Z479" s="49"/>
      <c r="AA479" s="37" t="str" cm="1">
        <f t="array" ref="AA479">IFERROR(IF(INDEX(SubsidieTabel!$Q$1:$T$9,MATCH($F479,SubsidieTabel!$Q$1:$Q$9,0),IFERROR(MATCH(Methode_Keuze,SubsidieTabel!$Q$1:$T$1,0),2))&lt;&gt;1=TRUE,"ja",""),"")</f>
        <v/>
      </c>
    </row>
    <row r="480" spans="1:27" ht="15" customHeight="1" x14ac:dyDescent="0.25">
      <c r="A480" s="85"/>
      <c r="B480" s="217" t="str">
        <f>IF(A480&lt;&gt;"",_xlfn.MAXIFS($B$1:B479,$A$1:A479,A480)+1,"")</f>
        <v/>
      </c>
      <c r="C480" s="50"/>
      <c r="D480" s="50"/>
      <c r="E480" s="50"/>
      <c r="F480" s="50"/>
      <c r="G480" s="280"/>
      <c r="H480" s="293"/>
      <c r="I480" s="292"/>
      <c r="J480" s="292"/>
      <c r="K480" s="200"/>
      <c r="L480" s="200"/>
      <c r="M480" s="89" t="str">
        <f>IFERROR(VLOOKUP(H480,Lijsten!$H$1:$I$100,2,0),"")</f>
        <v/>
      </c>
      <c r="N480" s="89" t="str" cm="1">
        <f t="array" ref="N480">IFERROR(_xlfn.IFS(AND(LEFT(F480,6)="Arbeid",RIGHT(F480,3)&lt;&gt;"IKS"),IFERROR(VLOOKUP($G480,Tb_KostenTypen[],2,0),"tarief"),RIGHT(F480,3)="IKS","Uurtarief",LEFT(F480,6)="Arbeid","Uurtarief",AND(LEFT(F480,8)="Bijdrage",RIGHT(F480,15)="(vrijwilligers)"),"Vast tarief"),"")</f>
        <v/>
      </c>
      <c r="O480" s="90"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0"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1"/>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59"/>
      <c r="Z480" s="49"/>
      <c r="AA480" s="37" t="str" cm="1">
        <f t="array" ref="AA480">IFERROR(IF(INDEX(SubsidieTabel!$Q$1:$T$9,MATCH($F480,SubsidieTabel!$Q$1:$Q$9,0),IFERROR(MATCH(Methode_Keuze,SubsidieTabel!$Q$1:$T$1,0),2))&lt;&gt;1=TRUE,"ja",""),"")</f>
        <v/>
      </c>
    </row>
    <row r="481" spans="1:27" ht="15" customHeight="1" x14ac:dyDescent="0.25">
      <c r="A481" s="85"/>
      <c r="B481" s="217" t="str">
        <f>IF(A481&lt;&gt;"",_xlfn.MAXIFS($B$1:B480,$A$1:A480,A481)+1,"")</f>
        <v/>
      </c>
      <c r="C481" s="50"/>
      <c r="D481" s="50"/>
      <c r="E481" s="50"/>
      <c r="F481" s="50"/>
      <c r="G481" s="280"/>
      <c r="H481" s="293"/>
      <c r="I481" s="292"/>
      <c r="J481" s="292"/>
      <c r="K481" s="200"/>
      <c r="L481" s="200"/>
      <c r="M481" s="89" t="str">
        <f>IFERROR(VLOOKUP(H481,Lijsten!$H$1:$I$100,2,0),"")</f>
        <v/>
      </c>
      <c r="N481" s="89" t="str" cm="1">
        <f t="array" ref="N481">IFERROR(_xlfn.IFS(AND(LEFT(F481,6)="Arbeid",RIGHT(F481,3)&lt;&gt;"IKS"),IFERROR(VLOOKUP($G481,Tb_KostenTypen[],2,0),"tarief"),RIGHT(F481,3)="IKS","Uurtarief",LEFT(F481,6)="Arbeid","Uurtarief",AND(LEFT(F481,8)="Bijdrage",RIGHT(F481,15)="(vrijwilligers)"),"Vast tarief"),"")</f>
        <v/>
      </c>
      <c r="O481" s="90"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0"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1"/>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59"/>
      <c r="Z481" s="49"/>
      <c r="AA481" s="37" t="str" cm="1">
        <f t="array" ref="AA481">IFERROR(IF(INDEX(SubsidieTabel!$Q$1:$T$9,MATCH($F481,SubsidieTabel!$Q$1:$Q$9,0),IFERROR(MATCH(Methode_Keuze,SubsidieTabel!$Q$1:$T$1,0),2))&lt;&gt;1=TRUE,"ja",""),"")</f>
        <v/>
      </c>
    </row>
    <row r="482" spans="1:27" ht="15" customHeight="1" x14ac:dyDescent="0.25">
      <c r="A482" s="85"/>
      <c r="B482" s="217" t="str">
        <f>IF(A482&lt;&gt;"",_xlfn.MAXIFS($B$1:B481,$A$1:A481,A482)+1,"")</f>
        <v/>
      </c>
      <c r="C482" s="50"/>
      <c r="D482" s="50"/>
      <c r="E482" s="50"/>
      <c r="F482" s="50"/>
      <c r="G482" s="280"/>
      <c r="H482" s="293"/>
      <c r="I482" s="292"/>
      <c r="J482" s="292"/>
      <c r="K482" s="200"/>
      <c r="L482" s="200"/>
      <c r="M482" s="89" t="str">
        <f>IFERROR(VLOOKUP(H482,Lijsten!$H$1:$I$100,2,0),"")</f>
        <v/>
      </c>
      <c r="N482" s="89" t="str" cm="1">
        <f t="array" ref="N482">IFERROR(_xlfn.IFS(AND(LEFT(F482,6)="Arbeid",RIGHT(F482,3)&lt;&gt;"IKS"),IFERROR(VLOOKUP($G482,Tb_KostenTypen[],2,0),"tarief"),RIGHT(F482,3)="IKS","Uurtarief",LEFT(F482,6)="Arbeid","Uurtarief",AND(LEFT(F482,8)="Bijdrage",RIGHT(F482,15)="(vrijwilligers)"),"Vast tarief"),"")</f>
        <v/>
      </c>
      <c r="O482" s="90"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0"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1"/>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59"/>
      <c r="Z482" s="49"/>
      <c r="AA482" s="37" t="str" cm="1">
        <f t="array" ref="AA482">IFERROR(IF(INDEX(SubsidieTabel!$Q$1:$T$9,MATCH($F482,SubsidieTabel!$Q$1:$Q$9,0),IFERROR(MATCH(Methode_Keuze,SubsidieTabel!$Q$1:$T$1,0),2))&lt;&gt;1=TRUE,"ja",""),"")</f>
        <v/>
      </c>
    </row>
    <row r="483" spans="1:27" ht="15" customHeight="1" x14ac:dyDescent="0.25">
      <c r="A483" s="85"/>
      <c r="B483" s="217" t="str">
        <f>IF(A483&lt;&gt;"",_xlfn.MAXIFS($B$1:B482,$A$1:A482,A483)+1,"")</f>
        <v/>
      </c>
      <c r="C483" s="50"/>
      <c r="D483" s="50"/>
      <c r="E483" s="50"/>
      <c r="F483" s="50"/>
      <c r="G483" s="280"/>
      <c r="H483" s="293"/>
      <c r="I483" s="292"/>
      <c r="J483" s="292"/>
      <c r="K483" s="200"/>
      <c r="L483" s="200"/>
      <c r="M483" s="89" t="str">
        <f>IFERROR(VLOOKUP(H483,Lijsten!$H$1:$I$100,2,0),"")</f>
        <v/>
      </c>
      <c r="N483" s="89" t="str" cm="1">
        <f t="array" ref="N483">IFERROR(_xlfn.IFS(AND(LEFT(F483,6)="Arbeid",RIGHT(F483,3)&lt;&gt;"IKS"),IFERROR(VLOOKUP($G483,Tb_KostenTypen[],2,0),"tarief"),RIGHT(F483,3)="IKS","Uurtarief",LEFT(F483,6)="Arbeid","Uurtarief",AND(LEFT(F483,8)="Bijdrage",RIGHT(F483,15)="(vrijwilligers)"),"Vast tarief"),"")</f>
        <v/>
      </c>
      <c r="O483" s="90"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0"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1"/>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59"/>
      <c r="Z483" s="49"/>
      <c r="AA483" s="37" t="str" cm="1">
        <f t="array" ref="AA483">IFERROR(IF(INDEX(SubsidieTabel!$Q$1:$T$9,MATCH($F483,SubsidieTabel!$Q$1:$Q$9,0),IFERROR(MATCH(Methode_Keuze,SubsidieTabel!$Q$1:$T$1,0),2))&lt;&gt;1=TRUE,"ja",""),"")</f>
        <v/>
      </c>
    </row>
    <row r="484" spans="1:27" ht="15" customHeight="1" x14ac:dyDescent="0.25">
      <c r="A484" s="85"/>
      <c r="B484" s="217" t="str">
        <f>IF(A484&lt;&gt;"",_xlfn.MAXIFS($B$1:B483,$A$1:A483,A484)+1,"")</f>
        <v/>
      </c>
      <c r="C484" s="50"/>
      <c r="D484" s="50"/>
      <c r="E484" s="50"/>
      <c r="F484" s="50"/>
      <c r="G484" s="280"/>
      <c r="H484" s="293"/>
      <c r="I484" s="292"/>
      <c r="J484" s="292"/>
      <c r="K484" s="200"/>
      <c r="L484" s="200"/>
      <c r="M484" s="89" t="str">
        <f>IFERROR(VLOOKUP(H484,Lijsten!$H$1:$I$100,2,0),"")</f>
        <v/>
      </c>
      <c r="N484" s="89" t="str" cm="1">
        <f t="array" ref="N484">IFERROR(_xlfn.IFS(AND(LEFT(F484,6)="Arbeid",RIGHT(F484,3)&lt;&gt;"IKS"),IFERROR(VLOOKUP($G484,Tb_KostenTypen[],2,0),"tarief"),RIGHT(F484,3)="IKS","Uurtarief",LEFT(F484,6)="Arbeid","Uurtarief",AND(LEFT(F484,8)="Bijdrage",RIGHT(F484,15)="(vrijwilligers)"),"Vast tarief"),"")</f>
        <v/>
      </c>
      <c r="O484" s="90"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0"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1"/>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59"/>
      <c r="Z484" s="49"/>
      <c r="AA484" s="37" t="str" cm="1">
        <f t="array" ref="AA484">IFERROR(IF(INDEX(SubsidieTabel!$Q$1:$T$9,MATCH($F484,SubsidieTabel!$Q$1:$Q$9,0),IFERROR(MATCH(Methode_Keuze,SubsidieTabel!$Q$1:$T$1,0),2))&lt;&gt;1=TRUE,"ja",""),"")</f>
        <v/>
      </c>
    </row>
    <row r="485" spans="1:27" ht="15" customHeight="1" x14ac:dyDescent="0.25">
      <c r="A485" s="85"/>
      <c r="B485" s="217" t="str">
        <f>IF(A485&lt;&gt;"",_xlfn.MAXIFS($B$1:B484,$A$1:A484,A485)+1,"")</f>
        <v/>
      </c>
      <c r="C485" s="50"/>
      <c r="D485" s="50"/>
      <c r="E485" s="50"/>
      <c r="F485" s="50"/>
      <c r="G485" s="280"/>
      <c r="H485" s="293"/>
      <c r="I485" s="292"/>
      <c r="J485" s="292"/>
      <c r="K485" s="200"/>
      <c r="L485" s="200"/>
      <c r="M485" s="89" t="str">
        <f>IFERROR(VLOOKUP(H485,Lijsten!$H$1:$I$100,2,0),"")</f>
        <v/>
      </c>
      <c r="N485" s="89" t="str" cm="1">
        <f t="array" ref="N485">IFERROR(_xlfn.IFS(AND(LEFT(F485,6)="Arbeid",RIGHT(F485,3)&lt;&gt;"IKS"),IFERROR(VLOOKUP($G485,Tb_KostenTypen[],2,0),"tarief"),RIGHT(F485,3)="IKS","Uurtarief",LEFT(F485,6)="Arbeid","Uurtarief",AND(LEFT(F485,8)="Bijdrage",RIGHT(F485,15)="(vrijwilligers)"),"Vast tarief"),"")</f>
        <v/>
      </c>
      <c r="O485" s="90"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0"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1"/>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59"/>
      <c r="Z485" s="49"/>
      <c r="AA485" s="37" t="str" cm="1">
        <f t="array" ref="AA485">IFERROR(IF(INDEX(SubsidieTabel!$Q$1:$T$9,MATCH($F485,SubsidieTabel!$Q$1:$Q$9,0),IFERROR(MATCH(Methode_Keuze,SubsidieTabel!$Q$1:$T$1,0),2))&lt;&gt;1=TRUE,"ja",""),"")</f>
        <v/>
      </c>
    </row>
    <row r="486" spans="1:27" ht="15" customHeight="1" x14ac:dyDescent="0.25">
      <c r="A486" s="85"/>
      <c r="B486" s="217" t="str">
        <f>IF(A486&lt;&gt;"",_xlfn.MAXIFS($B$1:B485,$A$1:A485,A486)+1,"")</f>
        <v/>
      </c>
      <c r="C486" s="50"/>
      <c r="D486" s="50"/>
      <c r="E486" s="50"/>
      <c r="F486" s="50"/>
      <c r="G486" s="280"/>
      <c r="H486" s="293"/>
      <c r="I486" s="292"/>
      <c r="J486" s="292"/>
      <c r="K486" s="200"/>
      <c r="L486" s="200"/>
      <c r="M486" s="89" t="str">
        <f>IFERROR(VLOOKUP(H486,Lijsten!$H$1:$I$100,2,0),"")</f>
        <v/>
      </c>
      <c r="N486" s="89" t="str" cm="1">
        <f t="array" ref="N486">IFERROR(_xlfn.IFS(AND(LEFT(F486,6)="Arbeid",RIGHT(F486,3)&lt;&gt;"IKS"),IFERROR(VLOOKUP($G486,Tb_KostenTypen[],2,0),"tarief"),RIGHT(F486,3)="IKS","Uurtarief",LEFT(F486,6)="Arbeid","Uurtarief",AND(LEFT(F486,8)="Bijdrage",RIGHT(F486,15)="(vrijwilligers)"),"Vast tarief"),"")</f>
        <v/>
      </c>
      <c r="O486" s="90"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0"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1"/>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59"/>
      <c r="Z486" s="49"/>
      <c r="AA486" s="37" t="str" cm="1">
        <f t="array" ref="AA486">IFERROR(IF(INDEX(SubsidieTabel!$Q$1:$T$9,MATCH($F486,SubsidieTabel!$Q$1:$Q$9,0),IFERROR(MATCH(Methode_Keuze,SubsidieTabel!$Q$1:$T$1,0),2))&lt;&gt;1=TRUE,"ja",""),"")</f>
        <v/>
      </c>
    </row>
    <row r="487" spans="1:27" ht="15" customHeight="1" x14ac:dyDescent="0.25">
      <c r="A487" s="85"/>
      <c r="B487" s="217" t="str">
        <f>IF(A487&lt;&gt;"",_xlfn.MAXIFS($B$1:B486,$A$1:A486,A487)+1,"")</f>
        <v/>
      </c>
      <c r="C487" s="50"/>
      <c r="D487" s="50"/>
      <c r="E487" s="50"/>
      <c r="F487" s="50"/>
      <c r="G487" s="280"/>
      <c r="H487" s="293"/>
      <c r="I487" s="292"/>
      <c r="J487" s="292"/>
      <c r="K487" s="200"/>
      <c r="L487" s="200"/>
      <c r="M487" s="89" t="str">
        <f>IFERROR(VLOOKUP(H487,Lijsten!$H$1:$I$100,2,0),"")</f>
        <v/>
      </c>
      <c r="N487" s="89" t="str" cm="1">
        <f t="array" ref="N487">IFERROR(_xlfn.IFS(AND(LEFT(F487,6)="Arbeid",RIGHT(F487,3)&lt;&gt;"IKS"),IFERROR(VLOOKUP($G487,Tb_KostenTypen[],2,0),"tarief"),RIGHT(F487,3)="IKS","Uurtarief",LEFT(F487,6)="Arbeid","Uurtarief",AND(LEFT(F487,8)="Bijdrage",RIGHT(F487,15)="(vrijwilligers)"),"Vast tarief"),"")</f>
        <v/>
      </c>
      <c r="O487" s="90"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0"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1"/>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59"/>
      <c r="Z487" s="49"/>
      <c r="AA487" s="37" t="str" cm="1">
        <f t="array" ref="AA487">IFERROR(IF(INDEX(SubsidieTabel!$Q$1:$T$9,MATCH($F487,SubsidieTabel!$Q$1:$Q$9,0),IFERROR(MATCH(Methode_Keuze,SubsidieTabel!$Q$1:$T$1,0),2))&lt;&gt;1=TRUE,"ja",""),"")</f>
        <v/>
      </c>
    </row>
    <row r="488" spans="1:27" ht="15" customHeight="1" x14ac:dyDescent="0.25">
      <c r="A488" s="85"/>
      <c r="B488" s="217" t="str">
        <f>IF(A488&lt;&gt;"",_xlfn.MAXIFS($B$1:B487,$A$1:A487,A488)+1,"")</f>
        <v/>
      </c>
      <c r="C488" s="50"/>
      <c r="D488" s="50"/>
      <c r="E488" s="50"/>
      <c r="F488" s="50"/>
      <c r="G488" s="280"/>
      <c r="H488" s="293"/>
      <c r="I488" s="292"/>
      <c r="J488" s="292"/>
      <c r="K488" s="200"/>
      <c r="L488" s="200"/>
      <c r="M488" s="89" t="str">
        <f>IFERROR(VLOOKUP(H488,Lijsten!$H$1:$I$100,2,0),"")</f>
        <v/>
      </c>
      <c r="N488" s="89" t="str" cm="1">
        <f t="array" ref="N488">IFERROR(_xlfn.IFS(AND(LEFT(F488,6)="Arbeid",RIGHT(F488,3)&lt;&gt;"IKS"),IFERROR(VLOOKUP($G488,Tb_KostenTypen[],2,0),"tarief"),RIGHT(F488,3)="IKS","Uurtarief",LEFT(F488,6)="Arbeid","Uurtarief",AND(LEFT(F488,8)="Bijdrage",RIGHT(F488,15)="(vrijwilligers)"),"Vast tarief"),"")</f>
        <v/>
      </c>
      <c r="O488" s="90"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0"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1"/>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59"/>
      <c r="Z488" s="49"/>
      <c r="AA488" s="37" t="str" cm="1">
        <f t="array" ref="AA488">IFERROR(IF(INDEX(SubsidieTabel!$Q$1:$T$9,MATCH($F488,SubsidieTabel!$Q$1:$Q$9,0),IFERROR(MATCH(Methode_Keuze,SubsidieTabel!$Q$1:$T$1,0),2))&lt;&gt;1=TRUE,"ja",""),"")</f>
        <v/>
      </c>
    </row>
    <row r="489" spans="1:27" ht="15" customHeight="1" x14ac:dyDescent="0.25">
      <c r="A489" s="85"/>
      <c r="B489" s="217" t="str">
        <f>IF(A489&lt;&gt;"",_xlfn.MAXIFS($B$1:B488,$A$1:A488,A489)+1,"")</f>
        <v/>
      </c>
      <c r="C489" s="50"/>
      <c r="D489" s="50"/>
      <c r="E489" s="50"/>
      <c r="F489" s="50"/>
      <c r="G489" s="280"/>
      <c r="H489" s="293"/>
      <c r="I489" s="292"/>
      <c r="J489" s="292"/>
      <c r="K489" s="200"/>
      <c r="L489" s="200"/>
      <c r="M489" s="89" t="str">
        <f>IFERROR(VLOOKUP(H489,Lijsten!$H$1:$I$100,2,0),"")</f>
        <v/>
      </c>
      <c r="N489" s="89" t="str" cm="1">
        <f t="array" ref="N489">IFERROR(_xlfn.IFS(AND(LEFT(F489,6)="Arbeid",RIGHT(F489,3)&lt;&gt;"IKS"),IFERROR(VLOOKUP($G489,Tb_KostenTypen[],2,0),"tarief"),RIGHT(F489,3)="IKS","Uurtarief",LEFT(F489,6)="Arbeid","Uurtarief",AND(LEFT(F489,8)="Bijdrage",RIGHT(F489,15)="(vrijwilligers)"),"Vast tarief"),"")</f>
        <v/>
      </c>
      <c r="O489" s="90"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0"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1"/>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59"/>
      <c r="Z489" s="49"/>
      <c r="AA489" s="37" t="str" cm="1">
        <f t="array" ref="AA489">IFERROR(IF(INDEX(SubsidieTabel!$Q$1:$T$9,MATCH($F489,SubsidieTabel!$Q$1:$Q$9,0),IFERROR(MATCH(Methode_Keuze,SubsidieTabel!$Q$1:$T$1,0),2))&lt;&gt;1=TRUE,"ja",""),"")</f>
        <v/>
      </c>
    </row>
    <row r="490" spans="1:27" ht="15" customHeight="1" x14ac:dyDescent="0.25">
      <c r="A490" s="85"/>
      <c r="B490" s="217" t="str">
        <f>IF(A490&lt;&gt;"",_xlfn.MAXIFS($B$1:B489,$A$1:A489,A490)+1,"")</f>
        <v/>
      </c>
      <c r="C490" s="50"/>
      <c r="D490" s="50"/>
      <c r="E490" s="50"/>
      <c r="F490" s="50"/>
      <c r="G490" s="280"/>
      <c r="H490" s="293"/>
      <c r="I490" s="292"/>
      <c r="J490" s="292"/>
      <c r="K490" s="200"/>
      <c r="L490" s="200"/>
      <c r="M490" s="89" t="str">
        <f>IFERROR(VLOOKUP(H490,Lijsten!$H$1:$I$100,2,0),"")</f>
        <v/>
      </c>
      <c r="N490" s="89" t="str" cm="1">
        <f t="array" ref="N490">IFERROR(_xlfn.IFS(AND(LEFT(F490,6)="Arbeid",RIGHT(F490,3)&lt;&gt;"IKS"),IFERROR(VLOOKUP($G490,Tb_KostenTypen[],2,0),"tarief"),RIGHT(F490,3)="IKS","Uurtarief",LEFT(F490,6)="Arbeid","Uurtarief",AND(LEFT(F490,8)="Bijdrage",RIGHT(F490,15)="(vrijwilligers)"),"Vast tarief"),"")</f>
        <v/>
      </c>
      <c r="O490" s="90"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0"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1"/>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59"/>
      <c r="Z490" s="49"/>
      <c r="AA490" s="37" t="str" cm="1">
        <f t="array" ref="AA490">IFERROR(IF(INDEX(SubsidieTabel!$Q$1:$T$9,MATCH($F490,SubsidieTabel!$Q$1:$Q$9,0),IFERROR(MATCH(Methode_Keuze,SubsidieTabel!$Q$1:$T$1,0),2))&lt;&gt;1=TRUE,"ja",""),"")</f>
        <v/>
      </c>
    </row>
    <row r="491" spans="1:27" ht="15" customHeight="1" x14ac:dyDescent="0.25">
      <c r="A491" s="85"/>
      <c r="B491" s="217" t="str">
        <f>IF(A491&lt;&gt;"",_xlfn.MAXIFS($B$1:B490,$A$1:A490,A491)+1,"")</f>
        <v/>
      </c>
      <c r="C491" s="50"/>
      <c r="D491" s="50"/>
      <c r="E491" s="50"/>
      <c r="F491" s="50"/>
      <c r="G491" s="280"/>
      <c r="H491" s="293"/>
      <c r="I491" s="292"/>
      <c r="J491" s="292"/>
      <c r="K491" s="200"/>
      <c r="L491" s="200"/>
      <c r="M491" s="89" t="str">
        <f>IFERROR(VLOOKUP(H491,Lijsten!$H$1:$I$100,2,0),"")</f>
        <v/>
      </c>
      <c r="N491" s="89" t="str" cm="1">
        <f t="array" ref="N491">IFERROR(_xlfn.IFS(AND(LEFT(F491,6)="Arbeid",RIGHT(F491,3)&lt;&gt;"IKS"),IFERROR(VLOOKUP($G491,Tb_KostenTypen[],2,0),"tarief"),RIGHT(F491,3)="IKS","Uurtarief",LEFT(F491,6)="Arbeid","Uurtarief",AND(LEFT(F491,8)="Bijdrage",RIGHT(F491,15)="(vrijwilligers)"),"Vast tarief"),"")</f>
        <v/>
      </c>
      <c r="O491" s="90"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0"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1"/>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59"/>
      <c r="Z491" s="49"/>
      <c r="AA491" s="37" t="str" cm="1">
        <f t="array" ref="AA491">IFERROR(IF(INDEX(SubsidieTabel!$Q$1:$T$9,MATCH($F491,SubsidieTabel!$Q$1:$Q$9,0),IFERROR(MATCH(Methode_Keuze,SubsidieTabel!$Q$1:$T$1,0),2))&lt;&gt;1=TRUE,"ja",""),"")</f>
        <v/>
      </c>
    </row>
    <row r="492" spans="1:27" ht="15" customHeight="1" x14ac:dyDescent="0.25">
      <c r="A492" s="85"/>
      <c r="B492" s="217" t="str">
        <f>IF(A492&lt;&gt;"",_xlfn.MAXIFS($B$1:B491,$A$1:A491,A492)+1,"")</f>
        <v/>
      </c>
      <c r="C492" s="50"/>
      <c r="D492" s="50"/>
      <c r="E492" s="50"/>
      <c r="F492" s="50"/>
      <c r="G492" s="280"/>
      <c r="H492" s="293"/>
      <c r="I492" s="292"/>
      <c r="J492" s="292"/>
      <c r="K492" s="200"/>
      <c r="L492" s="200"/>
      <c r="M492" s="89" t="str">
        <f>IFERROR(VLOOKUP(H492,Lijsten!$H$1:$I$100,2,0),"")</f>
        <v/>
      </c>
      <c r="N492" s="89" t="str" cm="1">
        <f t="array" ref="N492">IFERROR(_xlfn.IFS(AND(LEFT(F492,6)="Arbeid",RIGHT(F492,3)&lt;&gt;"IKS"),IFERROR(VLOOKUP($G492,Tb_KostenTypen[],2,0),"tarief"),RIGHT(F492,3)="IKS","Uurtarief",LEFT(F492,6)="Arbeid","Uurtarief",AND(LEFT(F492,8)="Bijdrage",RIGHT(F492,15)="(vrijwilligers)"),"Vast tarief"),"")</f>
        <v/>
      </c>
      <c r="O492" s="90"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0"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1"/>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59"/>
      <c r="Z492" s="49"/>
      <c r="AA492" s="37" t="str" cm="1">
        <f t="array" ref="AA492">IFERROR(IF(INDEX(SubsidieTabel!$Q$1:$T$9,MATCH($F492,SubsidieTabel!$Q$1:$Q$9,0),IFERROR(MATCH(Methode_Keuze,SubsidieTabel!$Q$1:$T$1,0),2))&lt;&gt;1=TRUE,"ja",""),"")</f>
        <v/>
      </c>
    </row>
    <row r="493" spans="1:27" ht="15" customHeight="1" x14ac:dyDescent="0.25">
      <c r="A493" s="85"/>
      <c r="B493" s="217" t="str">
        <f>IF(A493&lt;&gt;"",_xlfn.MAXIFS($B$1:B492,$A$1:A492,A493)+1,"")</f>
        <v/>
      </c>
      <c r="C493" s="50"/>
      <c r="D493" s="50"/>
      <c r="E493" s="50"/>
      <c r="F493" s="50"/>
      <c r="G493" s="280"/>
      <c r="H493" s="293"/>
      <c r="I493" s="292"/>
      <c r="J493" s="292"/>
      <c r="K493" s="200"/>
      <c r="L493" s="200"/>
      <c r="M493" s="89" t="str">
        <f>IFERROR(VLOOKUP(H493,Lijsten!$H$1:$I$100,2,0),"")</f>
        <v/>
      </c>
      <c r="N493" s="89" t="str" cm="1">
        <f t="array" ref="N493">IFERROR(_xlfn.IFS(AND(LEFT(F493,6)="Arbeid",RIGHT(F493,3)&lt;&gt;"IKS"),IFERROR(VLOOKUP($G493,Tb_KostenTypen[],2,0),"tarief"),RIGHT(F493,3)="IKS","Uurtarief",LEFT(F493,6)="Arbeid","Uurtarief",AND(LEFT(F493,8)="Bijdrage",RIGHT(F493,15)="(vrijwilligers)"),"Vast tarief"),"")</f>
        <v/>
      </c>
      <c r="O493" s="90"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0"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1"/>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59"/>
      <c r="Z493" s="49"/>
      <c r="AA493" s="37" t="str" cm="1">
        <f t="array" ref="AA493">IFERROR(IF(INDEX(SubsidieTabel!$Q$1:$T$9,MATCH($F493,SubsidieTabel!$Q$1:$Q$9,0),IFERROR(MATCH(Methode_Keuze,SubsidieTabel!$Q$1:$T$1,0),2))&lt;&gt;1=TRUE,"ja",""),"")</f>
        <v/>
      </c>
    </row>
    <row r="494" spans="1:27" ht="15" customHeight="1" x14ac:dyDescent="0.25">
      <c r="A494" s="85"/>
      <c r="B494" s="217" t="str">
        <f>IF(A494&lt;&gt;"",_xlfn.MAXIFS($B$1:B493,$A$1:A493,A494)+1,"")</f>
        <v/>
      </c>
      <c r="C494" s="50"/>
      <c r="D494" s="50"/>
      <c r="E494" s="50"/>
      <c r="F494" s="50"/>
      <c r="G494" s="280"/>
      <c r="H494" s="293"/>
      <c r="I494" s="292"/>
      <c r="J494" s="292"/>
      <c r="K494" s="200"/>
      <c r="L494" s="200"/>
      <c r="M494" s="89" t="str">
        <f>IFERROR(VLOOKUP(H494,Lijsten!$H$1:$I$100,2,0),"")</f>
        <v/>
      </c>
      <c r="N494" s="89" t="str" cm="1">
        <f t="array" ref="N494">IFERROR(_xlfn.IFS(AND(LEFT(F494,6)="Arbeid",RIGHT(F494,3)&lt;&gt;"IKS"),IFERROR(VLOOKUP($G494,Tb_KostenTypen[],2,0),"tarief"),RIGHT(F494,3)="IKS","Uurtarief",LEFT(F494,6)="Arbeid","Uurtarief",AND(LEFT(F494,8)="Bijdrage",RIGHT(F494,15)="(vrijwilligers)"),"Vast tarief"),"")</f>
        <v/>
      </c>
      <c r="O494" s="90"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0"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1"/>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59"/>
      <c r="Z494" s="49"/>
      <c r="AA494" s="37" t="str" cm="1">
        <f t="array" ref="AA494">IFERROR(IF(INDEX(SubsidieTabel!$Q$1:$T$9,MATCH($F494,SubsidieTabel!$Q$1:$Q$9,0),IFERROR(MATCH(Methode_Keuze,SubsidieTabel!$Q$1:$T$1,0),2))&lt;&gt;1=TRUE,"ja",""),"")</f>
        <v/>
      </c>
    </row>
    <row r="495" spans="1:27" ht="15" customHeight="1" x14ac:dyDescent="0.25">
      <c r="A495" s="85"/>
      <c r="B495" s="217" t="str">
        <f>IF(A495&lt;&gt;"",_xlfn.MAXIFS($B$1:B494,$A$1:A494,A495)+1,"")</f>
        <v/>
      </c>
      <c r="C495" s="50"/>
      <c r="D495" s="50"/>
      <c r="E495" s="50"/>
      <c r="F495" s="50"/>
      <c r="G495" s="280"/>
      <c r="H495" s="293"/>
      <c r="I495" s="292"/>
      <c r="J495" s="292"/>
      <c r="K495" s="200"/>
      <c r="L495" s="200"/>
      <c r="M495" s="89" t="str">
        <f>IFERROR(VLOOKUP(H495,Lijsten!$H$1:$I$100,2,0),"")</f>
        <v/>
      </c>
      <c r="N495" s="89" t="str" cm="1">
        <f t="array" ref="N495">IFERROR(_xlfn.IFS(AND(LEFT(F495,6)="Arbeid",RIGHT(F495,3)&lt;&gt;"IKS"),IFERROR(VLOOKUP($G495,Tb_KostenTypen[],2,0),"tarief"),RIGHT(F495,3)="IKS","Uurtarief",LEFT(F495,6)="Arbeid","Uurtarief",AND(LEFT(F495,8)="Bijdrage",RIGHT(F495,15)="(vrijwilligers)"),"Vast tarief"),"")</f>
        <v/>
      </c>
      <c r="O495" s="90"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0"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1"/>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59"/>
      <c r="Z495" s="49"/>
      <c r="AA495" s="37" t="str" cm="1">
        <f t="array" ref="AA495">IFERROR(IF(INDEX(SubsidieTabel!$Q$1:$T$9,MATCH($F495,SubsidieTabel!$Q$1:$Q$9,0),IFERROR(MATCH(Methode_Keuze,SubsidieTabel!$Q$1:$T$1,0),2))&lt;&gt;1=TRUE,"ja",""),"")</f>
        <v/>
      </c>
    </row>
    <row r="496" spans="1:27" ht="15" customHeight="1" x14ac:dyDescent="0.25">
      <c r="A496" s="85"/>
      <c r="B496" s="217" t="str">
        <f>IF(A496&lt;&gt;"",_xlfn.MAXIFS($B$1:B495,$A$1:A495,A496)+1,"")</f>
        <v/>
      </c>
      <c r="C496" s="50"/>
      <c r="D496" s="50"/>
      <c r="E496" s="50"/>
      <c r="F496" s="50"/>
      <c r="G496" s="280"/>
      <c r="H496" s="293"/>
      <c r="I496" s="292"/>
      <c r="J496" s="292"/>
      <c r="K496" s="200"/>
      <c r="L496" s="200"/>
      <c r="M496" s="89" t="str">
        <f>IFERROR(VLOOKUP(H496,Lijsten!$H$1:$I$100,2,0),"")</f>
        <v/>
      </c>
      <c r="N496" s="89" t="str" cm="1">
        <f t="array" ref="N496">IFERROR(_xlfn.IFS(AND(LEFT(F496,6)="Arbeid",RIGHT(F496,3)&lt;&gt;"IKS"),IFERROR(VLOOKUP($G496,Tb_KostenTypen[],2,0),"tarief"),RIGHT(F496,3)="IKS","Uurtarief",LEFT(F496,6)="Arbeid","Uurtarief",AND(LEFT(F496,8)="Bijdrage",RIGHT(F496,15)="(vrijwilligers)"),"Vast tarief"),"")</f>
        <v/>
      </c>
      <c r="O496" s="90"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0"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1"/>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59"/>
      <c r="Z496" s="49"/>
      <c r="AA496" s="37" t="str" cm="1">
        <f t="array" ref="AA496">IFERROR(IF(INDEX(SubsidieTabel!$Q$1:$T$9,MATCH($F496,SubsidieTabel!$Q$1:$Q$9,0),IFERROR(MATCH(Methode_Keuze,SubsidieTabel!$Q$1:$T$1,0),2))&lt;&gt;1=TRUE,"ja",""),"")</f>
        <v/>
      </c>
    </row>
    <row r="497" spans="1:27" ht="15" customHeight="1" x14ac:dyDescent="0.25">
      <c r="A497" s="85"/>
      <c r="B497" s="217" t="str">
        <f>IF(A497&lt;&gt;"",_xlfn.MAXIFS($B$1:B496,$A$1:A496,A497)+1,"")</f>
        <v/>
      </c>
      <c r="C497" s="50"/>
      <c r="D497" s="50"/>
      <c r="E497" s="50"/>
      <c r="F497" s="50"/>
      <c r="G497" s="280"/>
      <c r="H497" s="293"/>
      <c r="I497" s="292"/>
      <c r="J497" s="292"/>
      <c r="K497" s="200"/>
      <c r="L497" s="200"/>
      <c r="M497" s="89" t="str">
        <f>IFERROR(VLOOKUP(H497,Lijsten!$H$1:$I$100,2,0),"")</f>
        <v/>
      </c>
      <c r="N497" s="89" t="str" cm="1">
        <f t="array" ref="N497">IFERROR(_xlfn.IFS(AND(LEFT(F497,6)="Arbeid",RIGHT(F497,3)&lt;&gt;"IKS"),IFERROR(VLOOKUP($G497,Tb_KostenTypen[],2,0),"tarief"),RIGHT(F497,3)="IKS","Uurtarief",LEFT(F497,6)="Arbeid","Uurtarief",AND(LEFT(F497,8)="Bijdrage",RIGHT(F497,15)="(vrijwilligers)"),"Vast tarief"),"")</f>
        <v/>
      </c>
      <c r="O497" s="90"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0"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1"/>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59"/>
      <c r="Z497" s="49"/>
      <c r="AA497" s="37" t="str" cm="1">
        <f t="array" ref="AA497">IFERROR(IF(INDEX(SubsidieTabel!$Q$1:$T$9,MATCH($F497,SubsidieTabel!$Q$1:$Q$9,0),IFERROR(MATCH(Methode_Keuze,SubsidieTabel!$Q$1:$T$1,0),2))&lt;&gt;1=TRUE,"ja",""),"")</f>
        <v/>
      </c>
    </row>
    <row r="498" spans="1:27" ht="15" customHeight="1" x14ac:dyDescent="0.25">
      <c r="A498" s="85"/>
      <c r="B498" s="217" t="str">
        <f>IF(A498&lt;&gt;"",_xlfn.MAXIFS($B$1:B497,$A$1:A497,A498)+1,"")</f>
        <v/>
      </c>
      <c r="C498" s="50"/>
      <c r="D498" s="50"/>
      <c r="E498" s="50"/>
      <c r="F498" s="50"/>
      <c r="G498" s="280"/>
      <c r="H498" s="293"/>
      <c r="I498" s="292"/>
      <c r="J498" s="292"/>
      <c r="K498" s="200"/>
      <c r="L498" s="200"/>
      <c r="M498" s="89" t="str">
        <f>IFERROR(VLOOKUP(H498,Lijsten!$H$1:$I$100,2,0),"")</f>
        <v/>
      </c>
      <c r="N498" s="89" t="str" cm="1">
        <f t="array" ref="N498">IFERROR(_xlfn.IFS(AND(LEFT(F498,6)="Arbeid",RIGHT(F498,3)&lt;&gt;"IKS"),IFERROR(VLOOKUP($G498,Tb_KostenTypen[],2,0),"tarief"),RIGHT(F498,3)="IKS","Uurtarief",LEFT(F498,6)="Arbeid","Uurtarief",AND(LEFT(F498,8)="Bijdrage",RIGHT(F498,15)="(vrijwilligers)"),"Vast tarief"),"")</f>
        <v/>
      </c>
      <c r="O498" s="90"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0"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1"/>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59"/>
      <c r="Z498" s="49"/>
      <c r="AA498" s="37" t="str" cm="1">
        <f t="array" ref="AA498">IFERROR(IF(INDEX(SubsidieTabel!$Q$1:$T$9,MATCH($F498,SubsidieTabel!$Q$1:$Q$9,0),IFERROR(MATCH(Methode_Keuze,SubsidieTabel!$Q$1:$T$1,0),2))&lt;&gt;1=TRUE,"ja",""),"")</f>
        <v/>
      </c>
    </row>
    <row r="499" spans="1:27" ht="15" customHeight="1" x14ac:dyDescent="0.25">
      <c r="A499" s="85"/>
      <c r="B499" s="217" t="str">
        <f>IF(A499&lt;&gt;"",_xlfn.MAXIFS($B$1:B498,$A$1:A498,A499)+1,"")</f>
        <v/>
      </c>
      <c r="C499" s="50"/>
      <c r="D499" s="50"/>
      <c r="E499" s="50"/>
      <c r="F499" s="50"/>
      <c r="G499" s="280"/>
      <c r="H499" s="293"/>
      <c r="I499" s="292"/>
      <c r="J499" s="292"/>
      <c r="K499" s="200"/>
      <c r="L499" s="200"/>
      <c r="M499" s="89" t="str">
        <f>IFERROR(VLOOKUP(H499,Lijsten!$H$1:$I$100,2,0),"")</f>
        <v/>
      </c>
      <c r="N499" s="89" t="str" cm="1">
        <f t="array" ref="N499">IFERROR(_xlfn.IFS(AND(LEFT(F499,6)="Arbeid",RIGHT(F499,3)&lt;&gt;"IKS"),IFERROR(VLOOKUP($G499,Tb_KostenTypen[],2,0),"tarief"),RIGHT(F499,3)="IKS","Uurtarief",LEFT(F499,6)="Arbeid","Uurtarief",AND(LEFT(F499,8)="Bijdrage",RIGHT(F499,15)="(vrijwilligers)"),"Vast tarief"),"")</f>
        <v/>
      </c>
      <c r="O499" s="90"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0"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1"/>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59"/>
      <c r="Z499" s="49"/>
      <c r="AA499" s="37" t="str" cm="1">
        <f t="array" ref="AA499">IFERROR(IF(INDEX(SubsidieTabel!$Q$1:$T$9,MATCH($F499,SubsidieTabel!$Q$1:$Q$9,0),IFERROR(MATCH(Methode_Keuze,SubsidieTabel!$Q$1:$T$1,0),2))&lt;&gt;1=TRUE,"ja",""),"")</f>
        <v/>
      </c>
    </row>
    <row r="500" spans="1:27" ht="15" customHeight="1" x14ac:dyDescent="0.25">
      <c r="A500" s="85"/>
      <c r="B500" s="217" t="str">
        <f>IF(A500&lt;&gt;"",_xlfn.MAXIFS($B$1:B499,$A$1:A499,A500)+1,"")</f>
        <v/>
      </c>
      <c r="C500" s="50"/>
      <c r="D500" s="50"/>
      <c r="E500" s="50"/>
      <c r="F500" s="50"/>
      <c r="G500" s="280"/>
      <c r="H500" s="293"/>
      <c r="I500" s="292"/>
      <c r="J500" s="292"/>
      <c r="K500" s="200"/>
      <c r="L500" s="200"/>
      <c r="M500" s="89" t="str">
        <f>IFERROR(VLOOKUP(H500,Lijsten!$H$1:$I$100,2,0),"")</f>
        <v/>
      </c>
      <c r="N500" s="89" t="str" cm="1">
        <f t="array" ref="N500">IFERROR(_xlfn.IFS(AND(LEFT(F500,6)="Arbeid",RIGHT(F500,3)&lt;&gt;"IKS"),IFERROR(VLOOKUP($G500,Tb_KostenTypen[],2,0),"tarief"),RIGHT(F500,3)="IKS","Uurtarief",LEFT(F500,6)="Arbeid","Uurtarief",AND(LEFT(F500,8)="Bijdrage",RIGHT(F500,15)="(vrijwilligers)"),"Vast tarief"),"")</f>
        <v/>
      </c>
      <c r="O500" s="90"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0"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1"/>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59"/>
      <c r="Z500" s="49"/>
      <c r="AA500" s="37" t="str" cm="1">
        <f t="array" ref="AA500">IFERROR(IF(INDEX(SubsidieTabel!$Q$1:$T$9,MATCH($F500,SubsidieTabel!$Q$1:$Q$9,0),IFERROR(MATCH(Methode_Keuze,SubsidieTabel!$Q$1:$T$1,0),2))&lt;&gt;1=TRUE,"ja",""),"")</f>
        <v/>
      </c>
    </row>
    <row r="501" spans="1:27" ht="15" customHeight="1" x14ac:dyDescent="0.25">
      <c r="A501" s="85"/>
      <c r="B501" s="217" t="str">
        <f>IF(A501&lt;&gt;"",_xlfn.MAXIFS($B$1:B500,$A$1:A500,A501)+1,"")</f>
        <v/>
      </c>
      <c r="C501" s="50"/>
      <c r="D501" s="50"/>
      <c r="E501" s="50"/>
      <c r="F501" s="50"/>
      <c r="G501" s="280"/>
      <c r="H501" s="293"/>
      <c r="I501" s="292"/>
      <c r="J501" s="292"/>
      <c r="K501" s="200"/>
      <c r="L501" s="200"/>
      <c r="M501" s="89" t="str">
        <f>IFERROR(VLOOKUP(H501,Lijsten!$H$1:$I$100,2,0),"")</f>
        <v/>
      </c>
      <c r="N501" s="89" t="str" cm="1">
        <f t="array" ref="N501">IFERROR(_xlfn.IFS(AND(LEFT(F501,6)="Arbeid",RIGHT(F501,3)&lt;&gt;"IKS"),IFERROR(VLOOKUP($G501,Tb_KostenTypen[],2,0),"tarief"),RIGHT(F501,3)="IKS","Uurtarief",LEFT(F501,6)="Arbeid","Uurtarief",AND(LEFT(F501,8)="Bijdrage",RIGHT(F501,15)="(vrijwilligers)"),"Vast tarief"),"")</f>
        <v/>
      </c>
      <c r="O501" s="90"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0"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1"/>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59"/>
      <c r="Z501" s="49"/>
      <c r="AA501" s="37" t="str" cm="1">
        <f t="array" ref="AA501">IFERROR(IF(INDEX(SubsidieTabel!$Q$1:$T$9,MATCH($F501,SubsidieTabel!$Q$1:$Q$9,0),IFERROR(MATCH(Methode_Keuze,SubsidieTabel!$Q$1:$T$1,0),2))&lt;&gt;1=TRUE,"ja",""),"")</f>
        <v/>
      </c>
    </row>
    <row r="502" spans="1:27" ht="15" customHeight="1" x14ac:dyDescent="0.25">
      <c r="A502" s="85"/>
      <c r="B502" s="217" t="str">
        <f>IF(A502&lt;&gt;"",_xlfn.MAXIFS($B$1:B501,$A$1:A501,A502)+1,"")</f>
        <v/>
      </c>
      <c r="C502" s="50"/>
      <c r="D502" s="50"/>
      <c r="E502" s="50"/>
      <c r="F502" s="50"/>
      <c r="G502" s="280"/>
      <c r="H502" s="293"/>
      <c r="I502" s="292"/>
      <c r="J502" s="292"/>
      <c r="K502" s="200"/>
      <c r="L502" s="200"/>
      <c r="M502" s="89" t="str">
        <f>IFERROR(VLOOKUP(H502,Lijsten!$H$1:$I$100,2,0),"")</f>
        <v/>
      </c>
      <c r="N502" s="89" t="str" cm="1">
        <f t="array" ref="N502">IFERROR(_xlfn.IFS(AND(LEFT(F502,6)="Arbeid",RIGHT(F502,3)&lt;&gt;"IKS"),IFERROR(VLOOKUP($G502,Tb_KostenTypen[],2,0),"tarief"),RIGHT(F502,3)="IKS","Uurtarief",LEFT(F502,6)="Arbeid","Uurtarief",AND(LEFT(F502,8)="Bijdrage",RIGHT(F502,15)="(vrijwilligers)"),"Vast tarief"),"")</f>
        <v/>
      </c>
      <c r="O502" s="90"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0"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1"/>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59"/>
      <c r="Z502" s="49"/>
      <c r="AA502" s="37" t="str" cm="1">
        <f t="array" ref="AA502">IFERROR(IF(INDEX(SubsidieTabel!$Q$1:$T$9,MATCH($F502,SubsidieTabel!$Q$1:$Q$9,0),IFERROR(MATCH(Methode_Keuze,SubsidieTabel!$Q$1:$T$1,0),2))&lt;&gt;1=TRUE,"ja",""),"")</f>
        <v/>
      </c>
    </row>
    <row r="503" spans="1:27" ht="15" customHeight="1" x14ac:dyDescent="0.25">
      <c r="A503" s="85"/>
      <c r="B503" s="217" t="str">
        <f>IF(A503&lt;&gt;"",_xlfn.MAXIFS($B$1:B502,$A$1:A502,A503)+1,"")</f>
        <v/>
      </c>
      <c r="C503" s="50"/>
      <c r="D503" s="50"/>
      <c r="E503" s="50"/>
      <c r="F503" s="50"/>
      <c r="G503" s="280"/>
      <c r="H503" s="293"/>
      <c r="I503" s="292"/>
      <c r="J503" s="292"/>
      <c r="K503" s="200"/>
      <c r="L503" s="200"/>
      <c r="M503" s="89" t="str">
        <f>IFERROR(VLOOKUP(H503,Lijsten!$H$1:$I$100,2,0),"")</f>
        <v/>
      </c>
      <c r="N503" s="89" t="str" cm="1">
        <f t="array" ref="N503">IFERROR(_xlfn.IFS(AND(LEFT(F503,6)="Arbeid",RIGHT(F503,3)&lt;&gt;"IKS"),IFERROR(VLOOKUP($G503,Tb_KostenTypen[],2,0),"tarief"),RIGHT(F503,3)="IKS","Uurtarief",LEFT(F503,6)="Arbeid","Uurtarief",AND(LEFT(F503,8)="Bijdrage",RIGHT(F503,15)="(vrijwilligers)"),"Vast tarief"),"")</f>
        <v/>
      </c>
      <c r="O503" s="90"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0"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1"/>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59"/>
      <c r="Z503" s="49"/>
      <c r="AA503" s="37" t="str" cm="1">
        <f t="array" ref="AA503">IFERROR(IF(INDEX(SubsidieTabel!$Q$1:$T$9,MATCH($F503,SubsidieTabel!$Q$1:$Q$9,0),IFERROR(MATCH(Methode_Keuze,SubsidieTabel!$Q$1:$T$1,0),2))&lt;&gt;1=TRUE,"ja",""),"")</f>
        <v/>
      </c>
    </row>
    <row r="504" spans="1:27" ht="15" customHeight="1" x14ac:dyDescent="0.25">
      <c r="A504" s="85"/>
      <c r="B504" s="217" t="str">
        <f>IF(A504&lt;&gt;"",_xlfn.MAXIFS($B$1:B503,$A$1:A503,A504)+1,"")</f>
        <v/>
      </c>
      <c r="C504" s="50"/>
      <c r="D504" s="50"/>
      <c r="E504" s="50"/>
      <c r="F504" s="50"/>
      <c r="G504" s="280"/>
      <c r="H504" s="293"/>
      <c r="I504" s="292"/>
      <c r="J504" s="292"/>
      <c r="K504" s="200"/>
      <c r="L504" s="200"/>
      <c r="M504" s="89" t="str">
        <f>IFERROR(VLOOKUP(H504,Lijsten!$H$1:$I$100,2,0),"")</f>
        <v/>
      </c>
      <c r="N504" s="89" t="str" cm="1">
        <f t="array" ref="N504">IFERROR(_xlfn.IFS(AND(LEFT(F504,6)="Arbeid",RIGHT(F504,3)&lt;&gt;"IKS"),IFERROR(VLOOKUP($G504,Tb_KostenTypen[],2,0),"tarief"),RIGHT(F504,3)="IKS","Uurtarief",LEFT(F504,6)="Arbeid","Uurtarief",AND(LEFT(F504,8)="Bijdrage",RIGHT(F504,15)="(vrijwilligers)"),"Vast tarief"),"")</f>
        <v/>
      </c>
      <c r="O504" s="90"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0"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1"/>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59"/>
      <c r="Z504" s="49"/>
      <c r="AA504" s="37" t="str" cm="1">
        <f t="array" ref="AA504">IFERROR(IF(INDEX(SubsidieTabel!$Q$1:$T$9,MATCH($F504,SubsidieTabel!$Q$1:$Q$9,0),IFERROR(MATCH(Methode_Keuze,SubsidieTabel!$Q$1:$T$1,0),2))&lt;&gt;1=TRUE,"ja",""),"")</f>
        <v/>
      </c>
    </row>
    <row r="505" spans="1:27" ht="15" customHeight="1" x14ac:dyDescent="0.25">
      <c r="A505" s="85"/>
      <c r="B505" s="217" t="str">
        <f>IF(A505&lt;&gt;"",_xlfn.MAXIFS($B$1:B504,$A$1:A504,A505)+1,"")</f>
        <v/>
      </c>
      <c r="C505" s="50"/>
      <c r="D505" s="50"/>
      <c r="E505" s="50"/>
      <c r="F505" s="50"/>
      <c r="G505" s="280"/>
      <c r="H505" s="293"/>
      <c r="I505" s="292"/>
      <c r="J505" s="292"/>
      <c r="K505" s="200"/>
      <c r="L505" s="200"/>
      <c r="M505" s="89" t="str">
        <f>IFERROR(VLOOKUP(H505,Lijsten!$H$1:$I$100,2,0),"")</f>
        <v/>
      </c>
      <c r="N505" s="89" t="str" cm="1">
        <f t="array" ref="N505">IFERROR(_xlfn.IFS(AND(LEFT(F505,6)="Arbeid",RIGHT(F505,3)&lt;&gt;"IKS"),IFERROR(VLOOKUP($G505,Tb_KostenTypen[],2,0),"tarief"),RIGHT(F505,3)="IKS","Uurtarief",LEFT(F505,6)="Arbeid","Uurtarief",AND(LEFT(F505,8)="Bijdrage",RIGHT(F505,15)="(vrijwilligers)"),"Vast tarief"),"")</f>
        <v/>
      </c>
      <c r="O505" s="90"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0"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1"/>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59"/>
      <c r="Z505" s="49"/>
      <c r="AA505" s="37" t="str" cm="1">
        <f t="array" ref="AA505">IFERROR(IF(INDEX(SubsidieTabel!$Q$1:$T$9,MATCH($F505,SubsidieTabel!$Q$1:$Q$9,0),IFERROR(MATCH(Methode_Keuze,SubsidieTabel!$Q$1:$T$1,0),2))&lt;&gt;1=TRUE,"ja",""),"")</f>
        <v/>
      </c>
    </row>
    <row r="506" spans="1:27" ht="15" customHeight="1" x14ac:dyDescent="0.25">
      <c r="A506" s="85"/>
      <c r="B506" s="217" t="str">
        <f>IF(A506&lt;&gt;"",_xlfn.MAXIFS($B$1:B505,$A$1:A505,A506)+1,"")</f>
        <v/>
      </c>
      <c r="C506" s="50"/>
      <c r="D506" s="50"/>
      <c r="E506" s="50"/>
      <c r="F506" s="50"/>
      <c r="G506" s="280"/>
      <c r="H506" s="293"/>
      <c r="I506" s="292"/>
      <c r="J506" s="292"/>
      <c r="K506" s="200"/>
      <c r="L506" s="200"/>
      <c r="M506" s="89" t="str">
        <f>IFERROR(VLOOKUP(H506,Lijsten!$H$1:$I$100,2,0),"")</f>
        <v/>
      </c>
      <c r="N506" s="89" t="str" cm="1">
        <f t="array" ref="N506">IFERROR(_xlfn.IFS(AND(LEFT(F506,6)="Arbeid",RIGHT(F506,3)&lt;&gt;"IKS"),IFERROR(VLOOKUP($G506,Tb_KostenTypen[],2,0),"tarief"),RIGHT(F506,3)="IKS","Uurtarief",LEFT(F506,6)="Arbeid","Uurtarief",AND(LEFT(F506,8)="Bijdrage",RIGHT(F506,15)="(vrijwilligers)"),"Vast tarief"),"")</f>
        <v/>
      </c>
      <c r="O506" s="90"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0"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1"/>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59"/>
      <c r="Z506" s="49"/>
      <c r="AA506" s="37" t="str" cm="1">
        <f t="array" ref="AA506">IFERROR(IF(INDEX(SubsidieTabel!$Q$1:$T$9,MATCH($F506,SubsidieTabel!$Q$1:$Q$9,0),IFERROR(MATCH(Methode_Keuze,SubsidieTabel!$Q$1:$T$1,0),2))&lt;&gt;1=TRUE,"ja",""),"")</f>
        <v/>
      </c>
    </row>
    <row r="507" spans="1:27" ht="15" customHeight="1" x14ac:dyDescent="0.25">
      <c r="A507" s="85"/>
      <c r="B507" s="217" t="str">
        <f>IF(A507&lt;&gt;"",_xlfn.MAXIFS($B$1:B506,$A$1:A506,A507)+1,"")</f>
        <v/>
      </c>
      <c r="C507" s="50"/>
      <c r="D507" s="50"/>
      <c r="E507" s="50"/>
      <c r="F507" s="50"/>
      <c r="G507" s="280"/>
      <c r="H507" s="293"/>
      <c r="I507" s="292"/>
      <c r="J507" s="292"/>
      <c r="K507" s="200"/>
      <c r="L507" s="200"/>
      <c r="M507" s="89" t="str">
        <f>IFERROR(VLOOKUP(H507,Lijsten!$H$1:$I$100,2,0),"")</f>
        <v/>
      </c>
      <c r="N507" s="89" t="str" cm="1">
        <f t="array" ref="N507">IFERROR(_xlfn.IFS(AND(LEFT(F507,6)="Arbeid",RIGHT(F507,3)&lt;&gt;"IKS"),IFERROR(VLOOKUP($G507,Tb_KostenTypen[],2,0),"tarief"),RIGHT(F507,3)="IKS","Uurtarief",LEFT(F507,6)="Arbeid","Uurtarief",AND(LEFT(F507,8)="Bijdrage",RIGHT(F507,15)="(vrijwilligers)"),"Vast tarief"),"")</f>
        <v/>
      </c>
      <c r="O507" s="90"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0"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1"/>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59"/>
      <c r="Z507" s="49"/>
      <c r="AA507" s="37" t="str" cm="1">
        <f t="array" ref="AA507">IFERROR(IF(INDEX(SubsidieTabel!$Q$1:$T$9,MATCH($F507,SubsidieTabel!$Q$1:$Q$9,0),IFERROR(MATCH(Methode_Keuze,SubsidieTabel!$Q$1:$T$1,0),2))&lt;&gt;1=TRUE,"ja",""),"")</f>
        <v/>
      </c>
    </row>
    <row r="508" spans="1:27" ht="15" customHeight="1" x14ac:dyDescent="0.25">
      <c r="A508" s="85"/>
      <c r="B508" s="217" t="str">
        <f>IF(A508&lt;&gt;"",_xlfn.MAXIFS($B$1:B507,$A$1:A507,A508)+1,"")</f>
        <v/>
      </c>
      <c r="C508" s="50"/>
      <c r="D508" s="50"/>
      <c r="E508" s="50"/>
      <c r="F508" s="50"/>
      <c r="G508" s="280"/>
      <c r="H508" s="293"/>
      <c r="I508" s="292"/>
      <c r="J508" s="292"/>
      <c r="K508" s="200"/>
      <c r="L508" s="200"/>
      <c r="M508" s="89" t="str">
        <f>IFERROR(VLOOKUP(H508,Lijsten!$H$1:$I$100,2,0),"")</f>
        <v/>
      </c>
      <c r="N508" s="89" t="str" cm="1">
        <f t="array" ref="N508">IFERROR(_xlfn.IFS(AND(LEFT(F508,6)="Arbeid",RIGHT(F508,3)&lt;&gt;"IKS"),IFERROR(VLOOKUP($G508,Tb_KostenTypen[],2,0),"tarief"),RIGHT(F508,3)="IKS","Uurtarief",LEFT(F508,6)="Arbeid","Uurtarief",AND(LEFT(F508,8)="Bijdrage",RIGHT(F508,15)="(vrijwilligers)"),"Vast tarief"),"")</f>
        <v/>
      </c>
      <c r="O508" s="90"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0"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1"/>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59"/>
      <c r="Z508" s="49"/>
      <c r="AA508" s="37" t="str" cm="1">
        <f t="array" ref="AA508">IFERROR(IF(INDEX(SubsidieTabel!$Q$1:$T$9,MATCH($F508,SubsidieTabel!$Q$1:$Q$9,0),IFERROR(MATCH(Methode_Keuze,SubsidieTabel!$Q$1:$T$1,0),2))&lt;&gt;1=TRUE,"ja",""),"")</f>
        <v/>
      </c>
    </row>
    <row r="509" spans="1:27" ht="15" customHeight="1" x14ac:dyDescent="0.25">
      <c r="A509" s="85"/>
      <c r="B509" s="217" t="str">
        <f>IF(A509&lt;&gt;"",_xlfn.MAXIFS($B$1:B508,$A$1:A508,A509)+1,"")</f>
        <v/>
      </c>
      <c r="C509" s="50"/>
      <c r="D509" s="50"/>
      <c r="E509" s="50"/>
      <c r="F509" s="50"/>
      <c r="G509" s="280"/>
      <c r="H509" s="293"/>
      <c r="I509" s="292"/>
      <c r="J509" s="292"/>
      <c r="K509" s="200"/>
      <c r="L509" s="200"/>
      <c r="M509" s="89" t="str">
        <f>IFERROR(VLOOKUP(H509,Lijsten!$H$1:$I$100,2,0),"")</f>
        <v/>
      </c>
      <c r="N509" s="89" t="str" cm="1">
        <f t="array" ref="N509">IFERROR(_xlfn.IFS(AND(LEFT(F509,6)="Arbeid",RIGHT(F509,3)&lt;&gt;"IKS"),IFERROR(VLOOKUP($G509,Tb_KostenTypen[],2,0),"tarief"),RIGHT(F509,3)="IKS","Uurtarief",LEFT(F509,6)="Arbeid","Uurtarief",AND(LEFT(F509,8)="Bijdrage",RIGHT(F509,15)="(vrijwilligers)"),"Vast tarief"),"")</f>
        <v/>
      </c>
      <c r="O509" s="90"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0"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1"/>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59"/>
      <c r="Z509" s="49"/>
      <c r="AA509" s="37" t="str" cm="1">
        <f t="array" ref="AA509">IFERROR(IF(INDEX(SubsidieTabel!$Q$1:$T$9,MATCH($F509,SubsidieTabel!$Q$1:$Q$9,0),IFERROR(MATCH(Methode_Keuze,SubsidieTabel!$Q$1:$T$1,0),2))&lt;&gt;1=TRUE,"ja",""),"")</f>
        <v/>
      </c>
    </row>
    <row r="510" spans="1:27" ht="15" customHeight="1" x14ac:dyDescent="0.25">
      <c r="A510" s="85"/>
      <c r="B510" s="217" t="str">
        <f>IF(A510&lt;&gt;"",_xlfn.MAXIFS($B$1:B509,$A$1:A509,A510)+1,"")</f>
        <v/>
      </c>
      <c r="C510" s="50"/>
      <c r="D510" s="50"/>
      <c r="E510" s="50"/>
      <c r="F510" s="50"/>
      <c r="G510" s="280"/>
      <c r="H510" s="293"/>
      <c r="I510" s="292"/>
      <c r="J510" s="292"/>
      <c r="K510" s="200"/>
      <c r="L510" s="200"/>
      <c r="M510" s="89" t="str">
        <f>IFERROR(VLOOKUP(H510,Lijsten!$H$1:$I$100,2,0),"")</f>
        <v/>
      </c>
      <c r="N510" s="89" t="str" cm="1">
        <f t="array" ref="N510">IFERROR(_xlfn.IFS(AND(LEFT(F510,6)="Arbeid",RIGHT(F510,3)&lt;&gt;"IKS"),IFERROR(VLOOKUP($G510,Tb_KostenTypen[],2,0),"tarief"),RIGHT(F510,3)="IKS","Uurtarief",LEFT(F510,6)="Arbeid","Uurtarief",AND(LEFT(F510,8)="Bijdrage",RIGHT(F510,15)="(vrijwilligers)"),"Vast tarief"),"")</f>
        <v/>
      </c>
      <c r="O510" s="90"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0"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1"/>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59"/>
      <c r="Z510" s="49"/>
      <c r="AA510" s="37" t="str" cm="1">
        <f t="array" ref="AA510">IFERROR(IF(INDEX(SubsidieTabel!$Q$1:$T$9,MATCH($F510,SubsidieTabel!$Q$1:$Q$9,0),IFERROR(MATCH(Methode_Keuze,SubsidieTabel!$Q$1:$T$1,0),2))&lt;&gt;1=TRUE,"ja",""),"")</f>
        <v/>
      </c>
    </row>
    <row r="511" spans="1:27" ht="15" customHeight="1" x14ac:dyDescent="0.25">
      <c r="A511" s="85"/>
      <c r="B511" s="217" t="str">
        <f>IF(A511&lt;&gt;"",_xlfn.MAXIFS($B$1:B510,$A$1:A510,A511)+1,"")</f>
        <v/>
      </c>
      <c r="C511" s="50"/>
      <c r="D511" s="50"/>
      <c r="E511" s="50"/>
      <c r="F511" s="50"/>
      <c r="G511" s="280"/>
      <c r="H511" s="293"/>
      <c r="I511" s="292"/>
      <c r="J511" s="292"/>
      <c r="K511" s="200"/>
      <c r="L511" s="200"/>
      <c r="M511" s="89" t="str">
        <f>IFERROR(VLOOKUP(H511,Lijsten!$H$1:$I$100,2,0),"")</f>
        <v/>
      </c>
      <c r="N511" s="89" t="str" cm="1">
        <f t="array" ref="N511">IFERROR(_xlfn.IFS(AND(LEFT(F511,6)="Arbeid",RIGHT(F511,3)&lt;&gt;"IKS"),IFERROR(VLOOKUP($G511,Tb_KostenTypen[],2,0),"tarief"),RIGHT(F511,3)="IKS","Uurtarief",LEFT(F511,6)="Arbeid","Uurtarief",AND(LEFT(F511,8)="Bijdrage",RIGHT(F511,15)="(vrijwilligers)"),"Vast tarief"),"")</f>
        <v/>
      </c>
      <c r="O511" s="90"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0"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1"/>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59"/>
      <c r="Z511" s="49"/>
      <c r="AA511" s="37" t="str" cm="1">
        <f t="array" ref="AA511">IFERROR(IF(INDEX(SubsidieTabel!$Q$1:$T$9,MATCH($F511,SubsidieTabel!$Q$1:$Q$9,0),IFERROR(MATCH(Methode_Keuze,SubsidieTabel!$Q$1:$T$1,0),2))&lt;&gt;1=TRUE,"ja",""),"")</f>
        <v/>
      </c>
    </row>
    <row r="512" spans="1:27" ht="15" customHeight="1" x14ac:dyDescent="0.25">
      <c r="A512" s="85"/>
      <c r="B512" s="217" t="str">
        <f>IF(A512&lt;&gt;"",_xlfn.MAXIFS($B$1:B511,$A$1:A511,A512)+1,"")</f>
        <v/>
      </c>
      <c r="C512" s="50"/>
      <c r="D512" s="50"/>
      <c r="E512" s="50"/>
      <c r="F512" s="50"/>
      <c r="G512" s="280"/>
      <c r="H512" s="293"/>
      <c r="I512" s="292"/>
      <c r="J512" s="292"/>
      <c r="K512" s="200"/>
      <c r="L512" s="200"/>
      <c r="M512" s="89" t="str">
        <f>IFERROR(VLOOKUP(H512,Lijsten!$H$1:$I$100,2,0),"")</f>
        <v/>
      </c>
      <c r="N512" s="89" t="str" cm="1">
        <f t="array" ref="N512">IFERROR(_xlfn.IFS(AND(LEFT(F512,6)="Arbeid",RIGHT(F512,3)&lt;&gt;"IKS"),IFERROR(VLOOKUP($G512,Tb_KostenTypen[],2,0),"tarief"),RIGHT(F512,3)="IKS","Uurtarief",LEFT(F512,6)="Arbeid","Uurtarief",AND(LEFT(F512,8)="Bijdrage",RIGHT(F512,15)="(vrijwilligers)"),"Vast tarief"),"")</f>
        <v/>
      </c>
      <c r="O512" s="90"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0"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1"/>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59"/>
      <c r="Z512" s="49"/>
      <c r="AA512" s="37" t="str" cm="1">
        <f t="array" ref="AA512">IFERROR(IF(INDEX(SubsidieTabel!$Q$1:$T$9,MATCH($F512,SubsidieTabel!$Q$1:$Q$9,0),IFERROR(MATCH(Methode_Keuze,SubsidieTabel!$Q$1:$T$1,0),2))&lt;&gt;1=TRUE,"ja",""),"")</f>
        <v/>
      </c>
    </row>
    <row r="513" spans="1:27" ht="15" customHeight="1" x14ac:dyDescent="0.25">
      <c r="A513" s="85"/>
      <c r="B513" s="217" t="str">
        <f>IF(A513&lt;&gt;"",_xlfn.MAXIFS($B$1:B512,$A$1:A512,A513)+1,"")</f>
        <v/>
      </c>
      <c r="C513" s="50"/>
      <c r="D513" s="50"/>
      <c r="E513" s="50"/>
      <c r="F513" s="50"/>
      <c r="G513" s="280"/>
      <c r="H513" s="293"/>
      <c r="I513" s="292"/>
      <c r="J513" s="292"/>
      <c r="K513" s="200"/>
      <c r="L513" s="200"/>
      <c r="M513" s="89" t="str">
        <f>IFERROR(VLOOKUP(H513,Lijsten!$H$1:$I$100,2,0),"")</f>
        <v/>
      </c>
      <c r="N513" s="89" t="str" cm="1">
        <f t="array" ref="N513">IFERROR(_xlfn.IFS(AND(LEFT(F513,6)="Arbeid",RIGHT(F513,3)&lt;&gt;"IKS"),IFERROR(VLOOKUP($G513,Tb_KostenTypen[],2,0),"tarief"),RIGHT(F513,3)="IKS","Uurtarief",LEFT(F513,6)="Arbeid","Uurtarief",AND(LEFT(F513,8)="Bijdrage",RIGHT(F513,15)="(vrijwilligers)"),"Vast tarief"),"")</f>
        <v/>
      </c>
      <c r="O513" s="90"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0"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1"/>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59"/>
      <c r="Z513" s="49"/>
      <c r="AA513" s="37" t="str" cm="1">
        <f t="array" ref="AA513">IFERROR(IF(INDEX(SubsidieTabel!$Q$1:$T$9,MATCH($F513,SubsidieTabel!$Q$1:$Q$9,0),IFERROR(MATCH(Methode_Keuze,SubsidieTabel!$Q$1:$T$1,0),2))&lt;&gt;1=TRUE,"ja",""),"")</f>
        <v/>
      </c>
    </row>
    <row r="514" spans="1:27" ht="15" customHeight="1" x14ac:dyDescent="0.25">
      <c r="A514" s="85"/>
      <c r="B514" s="217" t="str">
        <f>IF(A514&lt;&gt;"",_xlfn.MAXIFS($B$1:B513,$A$1:A513,A514)+1,"")</f>
        <v/>
      </c>
      <c r="C514" s="50"/>
      <c r="D514" s="50"/>
      <c r="E514" s="50"/>
      <c r="F514" s="50"/>
      <c r="G514" s="280"/>
      <c r="H514" s="293"/>
      <c r="I514" s="292"/>
      <c r="J514" s="292"/>
      <c r="K514" s="200"/>
      <c r="L514" s="200"/>
      <c r="M514" s="89" t="str">
        <f>IFERROR(VLOOKUP(H514,Lijsten!$H$1:$I$100,2,0),"")</f>
        <v/>
      </c>
      <c r="N514" s="89" t="str" cm="1">
        <f t="array" ref="N514">IFERROR(_xlfn.IFS(AND(LEFT(F514,6)="Arbeid",RIGHT(F514,3)&lt;&gt;"IKS"),IFERROR(VLOOKUP($G514,Tb_KostenTypen[],2,0),"tarief"),RIGHT(F514,3)="IKS","Uurtarief",LEFT(F514,6)="Arbeid","Uurtarief",AND(LEFT(F514,8)="Bijdrage",RIGHT(F514,15)="(vrijwilligers)"),"Vast tarief"),"")</f>
        <v/>
      </c>
      <c r="O514" s="90"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0"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1"/>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59"/>
      <c r="Z514" s="49"/>
      <c r="AA514" s="37" t="str" cm="1">
        <f t="array" ref="AA514">IFERROR(IF(INDEX(SubsidieTabel!$Q$1:$T$9,MATCH($F514,SubsidieTabel!$Q$1:$Q$9,0),IFERROR(MATCH(Methode_Keuze,SubsidieTabel!$Q$1:$T$1,0),2))&lt;&gt;1=TRUE,"ja",""),"")</f>
        <v/>
      </c>
    </row>
    <row r="515" spans="1:27" ht="15" customHeight="1" x14ac:dyDescent="0.25">
      <c r="A515" s="85"/>
      <c r="B515" s="217" t="str">
        <f>IF(A515&lt;&gt;"",_xlfn.MAXIFS($B$1:B514,$A$1:A514,A515)+1,"")</f>
        <v/>
      </c>
      <c r="C515" s="50"/>
      <c r="D515" s="50"/>
      <c r="E515" s="50"/>
      <c r="F515" s="50"/>
      <c r="G515" s="280"/>
      <c r="H515" s="293"/>
      <c r="I515" s="292"/>
      <c r="J515" s="292"/>
      <c r="K515" s="200"/>
      <c r="L515" s="200"/>
      <c r="M515" s="89" t="str">
        <f>IFERROR(VLOOKUP(H515,Lijsten!$H$1:$I$100,2,0),"")</f>
        <v/>
      </c>
      <c r="N515" s="89" t="str" cm="1">
        <f t="array" ref="N515">IFERROR(_xlfn.IFS(AND(LEFT(F515,6)="Arbeid",RIGHT(F515,3)&lt;&gt;"IKS"),IFERROR(VLOOKUP($G515,Tb_KostenTypen[],2,0),"tarief"),RIGHT(F515,3)="IKS","Uurtarief",LEFT(F515,6)="Arbeid","Uurtarief",AND(LEFT(F515,8)="Bijdrage",RIGHT(F515,15)="(vrijwilligers)"),"Vast tarief"),"")</f>
        <v/>
      </c>
      <c r="O515" s="90"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0"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1"/>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59"/>
      <c r="Z515" s="49"/>
      <c r="AA515" s="37" t="str" cm="1">
        <f t="array" ref="AA515">IFERROR(IF(INDEX(SubsidieTabel!$Q$1:$T$9,MATCH($F515,SubsidieTabel!$Q$1:$Q$9,0),IFERROR(MATCH(Methode_Keuze,SubsidieTabel!$Q$1:$T$1,0),2))&lt;&gt;1=TRUE,"ja",""),"")</f>
        <v/>
      </c>
    </row>
    <row r="516" spans="1:27" ht="15" customHeight="1" x14ac:dyDescent="0.25">
      <c r="A516" s="85"/>
      <c r="B516" s="217" t="str">
        <f>IF(A516&lt;&gt;"",_xlfn.MAXIFS($B$1:B515,$A$1:A515,A516)+1,"")</f>
        <v/>
      </c>
      <c r="C516" s="50"/>
      <c r="D516" s="50"/>
      <c r="E516" s="50"/>
      <c r="F516" s="50"/>
      <c r="G516" s="280"/>
      <c r="H516" s="293"/>
      <c r="I516" s="292"/>
      <c r="J516" s="292"/>
      <c r="K516" s="200"/>
      <c r="L516" s="200"/>
      <c r="M516" s="89" t="str">
        <f>IFERROR(VLOOKUP(H516,Lijsten!$H$1:$I$100,2,0),"")</f>
        <v/>
      </c>
      <c r="N516" s="89" t="str" cm="1">
        <f t="array" ref="N516">IFERROR(_xlfn.IFS(AND(LEFT(F516,6)="Arbeid",RIGHT(F516,3)&lt;&gt;"IKS"),IFERROR(VLOOKUP($G516,Tb_KostenTypen[],2,0),"tarief"),RIGHT(F516,3)="IKS","Uurtarief",LEFT(F516,6)="Arbeid","Uurtarief",AND(LEFT(F516,8)="Bijdrage",RIGHT(F516,15)="(vrijwilligers)"),"Vast tarief"),"")</f>
        <v/>
      </c>
      <c r="O516" s="90"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0"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1"/>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59"/>
      <c r="Z516" s="49"/>
      <c r="AA516" s="37" t="str" cm="1">
        <f t="array" ref="AA516">IFERROR(IF(INDEX(SubsidieTabel!$Q$1:$T$9,MATCH($F516,SubsidieTabel!$Q$1:$Q$9,0),IFERROR(MATCH(Methode_Keuze,SubsidieTabel!$Q$1:$T$1,0),2))&lt;&gt;1=TRUE,"ja",""),"")</f>
        <v/>
      </c>
    </row>
    <row r="517" spans="1:27" ht="15" customHeight="1" x14ac:dyDescent="0.25">
      <c r="A517" s="85"/>
      <c r="B517" s="217" t="str">
        <f>IF(A517&lt;&gt;"",_xlfn.MAXIFS($B$1:B516,$A$1:A516,A517)+1,"")</f>
        <v/>
      </c>
      <c r="C517" s="50"/>
      <c r="D517" s="50"/>
      <c r="E517" s="50"/>
      <c r="F517" s="50"/>
      <c r="G517" s="280"/>
      <c r="H517" s="293"/>
      <c r="I517" s="292"/>
      <c r="J517" s="292"/>
      <c r="K517" s="200"/>
      <c r="L517" s="200"/>
      <c r="M517" s="89" t="str">
        <f>IFERROR(VLOOKUP(H517,Lijsten!$H$1:$I$100,2,0),"")</f>
        <v/>
      </c>
      <c r="N517" s="89" t="str" cm="1">
        <f t="array" ref="N517">IFERROR(_xlfn.IFS(AND(LEFT(F517,6)="Arbeid",RIGHT(F517,3)&lt;&gt;"IKS"),IFERROR(VLOOKUP($G517,Tb_KostenTypen[],2,0),"tarief"),RIGHT(F517,3)="IKS","Uurtarief",LEFT(F517,6)="Arbeid","Uurtarief",AND(LEFT(F517,8)="Bijdrage",RIGHT(F517,15)="(vrijwilligers)"),"Vast tarief"),"")</f>
        <v/>
      </c>
      <c r="O517" s="90"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0"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1"/>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59"/>
      <c r="Z517" s="49"/>
      <c r="AA517" s="37" t="str" cm="1">
        <f t="array" ref="AA517">IFERROR(IF(INDEX(SubsidieTabel!$Q$1:$T$9,MATCH($F517,SubsidieTabel!$Q$1:$Q$9,0),IFERROR(MATCH(Methode_Keuze,SubsidieTabel!$Q$1:$T$1,0),2))&lt;&gt;1=TRUE,"ja",""),"")</f>
        <v/>
      </c>
    </row>
    <row r="518" spans="1:27" ht="15" customHeight="1" x14ac:dyDescent="0.25">
      <c r="A518" s="85"/>
      <c r="B518" s="217" t="str">
        <f>IF(A518&lt;&gt;"",_xlfn.MAXIFS($B$1:B517,$A$1:A517,A518)+1,"")</f>
        <v/>
      </c>
      <c r="C518" s="50"/>
      <c r="D518" s="50"/>
      <c r="E518" s="50"/>
      <c r="F518" s="50"/>
      <c r="G518" s="280"/>
      <c r="H518" s="293"/>
      <c r="I518" s="292"/>
      <c r="J518" s="292"/>
      <c r="K518" s="200"/>
      <c r="L518" s="200"/>
      <c r="M518" s="89" t="str">
        <f>IFERROR(VLOOKUP(H518,Lijsten!$H$1:$I$100,2,0),"")</f>
        <v/>
      </c>
      <c r="N518" s="89" t="str" cm="1">
        <f t="array" ref="N518">IFERROR(_xlfn.IFS(AND(LEFT(F518,6)="Arbeid",RIGHT(F518,3)&lt;&gt;"IKS"),IFERROR(VLOOKUP($G518,Tb_KostenTypen[],2,0),"tarief"),RIGHT(F518,3)="IKS","Uurtarief",LEFT(F518,6)="Arbeid","Uurtarief",AND(LEFT(F518,8)="Bijdrage",RIGHT(F518,15)="(vrijwilligers)"),"Vast tarief"),"")</f>
        <v/>
      </c>
      <c r="O518" s="90"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0"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1"/>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59"/>
      <c r="Z518" s="49"/>
      <c r="AA518" s="37" t="str" cm="1">
        <f t="array" ref="AA518">IFERROR(IF(INDEX(SubsidieTabel!$Q$1:$T$9,MATCH($F518,SubsidieTabel!$Q$1:$Q$9,0),IFERROR(MATCH(Methode_Keuze,SubsidieTabel!$Q$1:$T$1,0),2))&lt;&gt;1=TRUE,"ja",""),"")</f>
        <v/>
      </c>
    </row>
    <row r="519" spans="1:27" ht="15" customHeight="1" x14ac:dyDescent="0.25">
      <c r="A519" s="85"/>
      <c r="B519" s="217" t="str">
        <f>IF(A519&lt;&gt;"",_xlfn.MAXIFS($B$1:B518,$A$1:A518,A519)+1,"")</f>
        <v/>
      </c>
      <c r="C519" s="50"/>
      <c r="D519" s="50"/>
      <c r="E519" s="50"/>
      <c r="F519" s="50"/>
      <c r="G519" s="280"/>
      <c r="H519" s="293"/>
      <c r="I519" s="292"/>
      <c r="J519" s="292"/>
      <c r="K519" s="200"/>
      <c r="L519" s="200"/>
      <c r="M519" s="89" t="str">
        <f>IFERROR(VLOOKUP(H519,Lijsten!$H$1:$I$100,2,0),"")</f>
        <v/>
      </c>
      <c r="N519" s="89" t="str" cm="1">
        <f t="array" ref="N519">IFERROR(_xlfn.IFS(AND(LEFT(F519,6)="Arbeid",RIGHT(F519,3)&lt;&gt;"IKS"),IFERROR(VLOOKUP($G519,Tb_KostenTypen[],2,0),"tarief"),RIGHT(F519,3)="IKS","Uurtarief",LEFT(F519,6)="Arbeid","Uurtarief",AND(LEFT(F519,8)="Bijdrage",RIGHT(F519,15)="(vrijwilligers)"),"Vast tarief"),"")</f>
        <v/>
      </c>
      <c r="O519" s="90"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0"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1"/>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59"/>
      <c r="Z519" s="49"/>
      <c r="AA519" s="37" t="str" cm="1">
        <f t="array" ref="AA519">IFERROR(IF(INDEX(SubsidieTabel!$Q$1:$T$9,MATCH($F519,SubsidieTabel!$Q$1:$Q$9,0),IFERROR(MATCH(Methode_Keuze,SubsidieTabel!$Q$1:$T$1,0),2))&lt;&gt;1=TRUE,"ja",""),"")</f>
        <v/>
      </c>
    </row>
    <row r="520" spans="1:27" ht="15" customHeight="1" x14ac:dyDescent="0.25">
      <c r="A520" s="85"/>
      <c r="B520" s="217" t="str">
        <f>IF(A520&lt;&gt;"",_xlfn.MAXIFS($B$1:B519,$A$1:A519,A520)+1,"")</f>
        <v/>
      </c>
      <c r="C520" s="50"/>
      <c r="D520" s="50"/>
      <c r="E520" s="50"/>
      <c r="F520" s="50"/>
      <c r="G520" s="280"/>
      <c r="H520" s="293"/>
      <c r="I520" s="292"/>
      <c r="J520" s="292"/>
      <c r="K520" s="200"/>
      <c r="L520" s="200"/>
      <c r="M520" s="89" t="str">
        <f>IFERROR(VLOOKUP(H520,Lijsten!$H$1:$I$100,2,0),"")</f>
        <v/>
      </c>
      <c r="N520" s="89" t="str" cm="1">
        <f t="array" ref="N520">IFERROR(_xlfn.IFS(AND(LEFT(F520,6)="Arbeid",RIGHT(F520,3)&lt;&gt;"IKS"),IFERROR(VLOOKUP($G520,Tb_KostenTypen[],2,0),"tarief"),RIGHT(F520,3)="IKS","Uurtarief",LEFT(F520,6)="Arbeid","Uurtarief",AND(LEFT(F520,8)="Bijdrage",RIGHT(F520,15)="(vrijwilligers)"),"Vast tarief"),"")</f>
        <v/>
      </c>
      <c r="O520" s="90"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0"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1"/>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59"/>
      <c r="Z520" s="49"/>
      <c r="AA520" s="37" t="str" cm="1">
        <f t="array" ref="AA520">IFERROR(IF(INDEX(SubsidieTabel!$Q$1:$T$9,MATCH($F520,SubsidieTabel!$Q$1:$Q$9,0),IFERROR(MATCH(Methode_Keuze,SubsidieTabel!$Q$1:$T$1,0),2))&lt;&gt;1=TRUE,"ja",""),"")</f>
        <v/>
      </c>
    </row>
    <row r="521" spans="1:27" ht="15" customHeight="1" x14ac:dyDescent="0.25">
      <c r="A521" s="85"/>
      <c r="B521" s="217" t="str">
        <f>IF(A521&lt;&gt;"",_xlfn.MAXIFS($B$1:B520,$A$1:A520,A521)+1,"")</f>
        <v/>
      </c>
      <c r="C521" s="50"/>
      <c r="D521" s="50"/>
      <c r="E521" s="50"/>
      <c r="F521" s="50"/>
      <c r="G521" s="280"/>
      <c r="H521" s="293"/>
      <c r="I521" s="292"/>
      <c r="J521" s="292"/>
      <c r="K521" s="200"/>
      <c r="L521" s="200"/>
      <c r="M521" s="89" t="str">
        <f>IFERROR(VLOOKUP(H521,Lijsten!$H$1:$I$100,2,0),"")</f>
        <v/>
      </c>
      <c r="N521" s="89" t="str" cm="1">
        <f t="array" ref="N521">IFERROR(_xlfn.IFS(AND(LEFT(F521,6)="Arbeid",RIGHT(F521,3)&lt;&gt;"IKS"),IFERROR(VLOOKUP($G521,Tb_KostenTypen[],2,0),"tarief"),RIGHT(F521,3)="IKS","Uurtarief",LEFT(F521,6)="Arbeid","Uurtarief",AND(LEFT(F521,8)="Bijdrage",RIGHT(F521,15)="(vrijwilligers)"),"Vast tarief"),"")</f>
        <v/>
      </c>
      <c r="O521" s="90"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0"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1"/>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59"/>
      <c r="Z521" s="49"/>
      <c r="AA521" s="37" t="str" cm="1">
        <f t="array" ref="AA521">IFERROR(IF(INDEX(SubsidieTabel!$Q$1:$T$9,MATCH($F521,SubsidieTabel!$Q$1:$Q$9,0),IFERROR(MATCH(Methode_Keuze,SubsidieTabel!$Q$1:$T$1,0),2))&lt;&gt;1=TRUE,"ja",""),"")</f>
        <v/>
      </c>
    </row>
    <row r="522" spans="1:27" ht="15" customHeight="1" x14ac:dyDescent="0.25">
      <c r="A522" s="85"/>
      <c r="B522" s="217" t="str">
        <f>IF(A522&lt;&gt;"",_xlfn.MAXIFS($B$1:B521,$A$1:A521,A522)+1,"")</f>
        <v/>
      </c>
      <c r="C522" s="50"/>
      <c r="D522" s="50"/>
      <c r="E522" s="50"/>
      <c r="F522" s="50"/>
      <c r="G522" s="280"/>
      <c r="H522" s="293"/>
      <c r="I522" s="292"/>
      <c r="J522" s="292"/>
      <c r="K522" s="200"/>
      <c r="L522" s="200"/>
      <c r="M522" s="89" t="str">
        <f>IFERROR(VLOOKUP(H522,Lijsten!$H$1:$I$100,2,0),"")</f>
        <v/>
      </c>
      <c r="N522" s="89" t="str" cm="1">
        <f t="array" ref="N522">IFERROR(_xlfn.IFS(AND(LEFT(F522,6)="Arbeid",RIGHT(F522,3)&lt;&gt;"IKS"),IFERROR(VLOOKUP($G522,Tb_KostenTypen[],2,0),"tarief"),RIGHT(F522,3)="IKS","Uurtarief",LEFT(F522,6)="Arbeid","Uurtarief",AND(LEFT(F522,8)="Bijdrage",RIGHT(F522,15)="(vrijwilligers)"),"Vast tarief"),"")</f>
        <v/>
      </c>
      <c r="O522" s="90"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0"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1"/>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59"/>
      <c r="Z522" s="49"/>
      <c r="AA522" s="37" t="str" cm="1">
        <f t="array" ref="AA522">IFERROR(IF(INDEX(SubsidieTabel!$Q$1:$T$9,MATCH($F522,SubsidieTabel!$Q$1:$Q$9,0),IFERROR(MATCH(Methode_Keuze,SubsidieTabel!$Q$1:$T$1,0),2))&lt;&gt;1=TRUE,"ja",""),"")</f>
        <v/>
      </c>
    </row>
    <row r="523" spans="1:27" ht="15" customHeight="1" x14ac:dyDescent="0.25">
      <c r="A523" s="85"/>
      <c r="B523" s="217" t="str">
        <f>IF(A523&lt;&gt;"",_xlfn.MAXIFS($B$1:B522,$A$1:A522,A523)+1,"")</f>
        <v/>
      </c>
      <c r="C523" s="50"/>
      <c r="D523" s="50"/>
      <c r="E523" s="50"/>
      <c r="F523" s="50"/>
      <c r="G523" s="280"/>
      <c r="H523" s="293"/>
      <c r="I523" s="292"/>
      <c r="J523" s="292"/>
      <c r="K523" s="200"/>
      <c r="L523" s="200"/>
      <c r="M523" s="89" t="str">
        <f>IFERROR(VLOOKUP(H523,Lijsten!$H$1:$I$100,2,0),"")</f>
        <v/>
      </c>
      <c r="N523" s="89" t="str" cm="1">
        <f t="array" ref="N523">IFERROR(_xlfn.IFS(AND(LEFT(F523,6)="Arbeid",RIGHT(F523,3)&lt;&gt;"IKS"),IFERROR(VLOOKUP($G523,Tb_KostenTypen[],2,0),"tarief"),RIGHT(F523,3)="IKS","Uurtarief",LEFT(F523,6)="Arbeid","Uurtarief",AND(LEFT(F523,8)="Bijdrage",RIGHT(F523,15)="(vrijwilligers)"),"Vast tarief"),"")</f>
        <v/>
      </c>
      <c r="O523" s="90"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0"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1"/>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59"/>
      <c r="Z523" s="49"/>
      <c r="AA523" s="37" t="str" cm="1">
        <f t="array" ref="AA523">IFERROR(IF(INDEX(SubsidieTabel!$Q$1:$T$9,MATCH($F523,SubsidieTabel!$Q$1:$Q$9,0),IFERROR(MATCH(Methode_Keuze,SubsidieTabel!$Q$1:$T$1,0),2))&lt;&gt;1=TRUE,"ja",""),"")</f>
        <v/>
      </c>
    </row>
    <row r="524" spans="1:27" ht="15" customHeight="1" x14ac:dyDescent="0.25">
      <c r="A524" s="85"/>
      <c r="B524" s="217" t="str">
        <f>IF(A524&lt;&gt;"",_xlfn.MAXIFS($B$1:B523,$A$1:A523,A524)+1,"")</f>
        <v/>
      </c>
      <c r="C524" s="50"/>
      <c r="D524" s="50"/>
      <c r="E524" s="50"/>
      <c r="F524" s="50"/>
      <c r="G524" s="280"/>
      <c r="H524" s="293"/>
      <c r="I524" s="292"/>
      <c r="J524" s="292"/>
      <c r="K524" s="200"/>
      <c r="L524" s="200"/>
      <c r="M524" s="89" t="str">
        <f>IFERROR(VLOOKUP(H524,Lijsten!$H$1:$I$100,2,0),"")</f>
        <v/>
      </c>
      <c r="N524" s="89" t="str" cm="1">
        <f t="array" ref="N524">IFERROR(_xlfn.IFS(AND(LEFT(F524,6)="Arbeid",RIGHT(F524,3)&lt;&gt;"IKS"),IFERROR(VLOOKUP($G524,Tb_KostenTypen[],2,0),"tarief"),RIGHT(F524,3)="IKS","Uurtarief",LEFT(F524,6)="Arbeid","Uurtarief",AND(LEFT(F524,8)="Bijdrage",RIGHT(F524,15)="(vrijwilligers)"),"Vast tarief"),"")</f>
        <v/>
      </c>
      <c r="O524" s="90"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0"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1"/>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59"/>
      <c r="Z524" s="49"/>
      <c r="AA524" s="37" t="str" cm="1">
        <f t="array" ref="AA524">IFERROR(IF(INDEX(SubsidieTabel!$Q$1:$T$9,MATCH($F524,SubsidieTabel!$Q$1:$Q$9,0),IFERROR(MATCH(Methode_Keuze,SubsidieTabel!$Q$1:$T$1,0),2))&lt;&gt;1=TRUE,"ja",""),"")</f>
        <v/>
      </c>
    </row>
    <row r="525" spans="1:27" ht="15" customHeight="1" x14ac:dyDescent="0.25">
      <c r="A525" s="85"/>
      <c r="B525" s="217" t="str">
        <f>IF(A525&lt;&gt;"",_xlfn.MAXIFS($B$1:B524,$A$1:A524,A525)+1,"")</f>
        <v/>
      </c>
      <c r="C525" s="50"/>
      <c r="D525" s="50"/>
      <c r="E525" s="50"/>
      <c r="F525" s="50"/>
      <c r="G525" s="280"/>
      <c r="H525" s="293"/>
      <c r="I525" s="292"/>
      <c r="J525" s="292"/>
      <c r="K525" s="200"/>
      <c r="L525" s="200"/>
      <c r="M525" s="89" t="str">
        <f>IFERROR(VLOOKUP(H525,Lijsten!$H$1:$I$100,2,0),"")</f>
        <v/>
      </c>
      <c r="N525" s="89" t="str" cm="1">
        <f t="array" ref="N525">IFERROR(_xlfn.IFS(AND(LEFT(F525,6)="Arbeid",RIGHT(F525,3)&lt;&gt;"IKS"),IFERROR(VLOOKUP($G525,Tb_KostenTypen[],2,0),"tarief"),RIGHT(F525,3)="IKS","Uurtarief",LEFT(F525,6)="Arbeid","Uurtarief",AND(LEFT(F525,8)="Bijdrage",RIGHT(F525,15)="(vrijwilligers)"),"Vast tarief"),"")</f>
        <v/>
      </c>
      <c r="O525" s="90"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0"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1"/>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59"/>
      <c r="Z525" s="49"/>
      <c r="AA525" s="37" t="str" cm="1">
        <f t="array" ref="AA525">IFERROR(IF(INDEX(SubsidieTabel!$Q$1:$T$9,MATCH($F525,SubsidieTabel!$Q$1:$Q$9,0),IFERROR(MATCH(Methode_Keuze,SubsidieTabel!$Q$1:$T$1,0),2))&lt;&gt;1=TRUE,"ja",""),"")</f>
        <v/>
      </c>
    </row>
    <row r="526" spans="1:27" ht="15" customHeight="1" x14ac:dyDescent="0.25">
      <c r="A526" s="85"/>
      <c r="B526" s="217" t="str">
        <f>IF(A526&lt;&gt;"",_xlfn.MAXIFS($B$1:B525,$A$1:A525,A526)+1,"")</f>
        <v/>
      </c>
      <c r="C526" s="50"/>
      <c r="D526" s="50"/>
      <c r="E526" s="50"/>
      <c r="F526" s="50"/>
      <c r="G526" s="280"/>
      <c r="H526" s="293"/>
      <c r="I526" s="292"/>
      <c r="J526" s="292"/>
      <c r="K526" s="200"/>
      <c r="L526" s="200"/>
      <c r="M526" s="89" t="str">
        <f>IFERROR(VLOOKUP(H526,Lijsten!$H$1:$I$100,2,0),"")</f>
        <v/>
      </c>
      <c r="N526" s="89" t="str" cm="1">
        <f t="array" ref="N526">IFERROR(_xlfn.IFS(AND(LEFT(F526,6)="Arbeid",RIGHT(F526,3)&lt;&gt;"IKS"),IFERROR(VLOOKUP($G526,Tb_KostenTypen[],2,0),"tarief"),RIGHT(F526,3)="IKS","Uurtarief",LEFT(F526,6)="Arbeid","Uurtarief",AND(LEFT(F526,8)="Bijdrage",RIGHT(F526,15)="(vrijwilligers)"),"Vast tarief"),"")</f>
        <v/>
      </c>
      <c r="O526" s="90"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0"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1"/>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59"/>
      <c r="Z526" s="49"/>
      <c r="AA526" s="37" t="str" cm="1">
        <f t="array" ref="AA526">IFERROR(IF(INDEX(SubsidieTabel!$Q$1:$T$9,MATCH($F526,SubsidieTabel!$Q$1:$Q$9,0),IFERROR(MATCH(Methode_Keuze,SubsidieTabel!$Q$1:$T$1,0),2))&lt;&gt;1=TRUE,"ja",""),"")</f>
        <v/>
      </c>
    </row>
    <row r="527" spans="1:27" ht="15" customHeight="1" x14ac:dyDescent="0.25">
      <c r="A527" s="85"/>
      <c r="B527" s="217" t="str">
        <f>IF(A527&lt;&gt;"",_xlfn.MAXIFS($B$1:B526,$A$1:A526,A527)+1,"")</f>
        <v/>
      </c>
      <c r="C527" s="50"/>
      <c r="D527" s="50"/>
      <c r="E527" s="50"/>
      <c r="F527" s="50"/>
      <c r="G527" s="280"/>
      <c r="H527" s="293"/>
      <c r="I527" s="292"/>
      <c r="J527" s="292"/>
      <c r="K527" s="200"/>
      <c r="L527" s="200"/>
      <c r="M527" s="89" t="str">
        <f>IFERROR(VLOOKUP(H527,Lijsten!$H$1:$I$100,2,0),"")</f>
        <v/>
      </c>
      <c r="N527" s="89" t="str" cm="1">
        <f t="array" ref="N527">IFERROR(_xlfn.IFS(AND(LEFT(F527,6)="Arbeid",RIGHT(F527,3)&lt;&gt;"IKS"),IFERROR(VLOOKUP($G527,Tb_KostenTypen[],2,0),"tarief"),RIGHT(F527,3)="IKS","Uurtarief",LEFT(F527,6)="Arbeid","Uurtarief",AND(LEFT(F527,8)="Bijdrage",RIGHT(F527,15)="(vrijwilligers)"),"Vast tarief"),"")</f>
        <v/>
      </c>
      <c r="O527" s="90"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0"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1"/>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59"/>
      <c r="Z527" s="49"/>
      <c r="AA527" s="37" t="str" cm="1">
        <f t="array" ref="AA527">IFERROR(IF(INDEX(SubsidieTabel!$Q$1:$T$9,MATCH($F527,SubsidieTabel!$Q$1:$Q$9,0),IFERROR(MATCH(Methode_Keuze,SubsidieTabel!$Q$1:$T$1,0),2))&lt;&gt;1=TRUE,"ja",""),"")</f>
        <v/>
      </c>
    </row>
    <row r="528" spans="1:27" ht="15" customHeight="1" x14ac:dyDescent="0.25">
      <c r="A528" s="85"/>
      <c r="B528" s="217" t="str">
        <f>IF(A528&lt;&gt;"",_xlfn.MAXIFS($B$1:B527,$A$1:A527,A528)+1,"")</f>
        <v/>
      </c>
      <c r="C528" s="50"/>
      <c r="D528" s="50"/>
      <c r="E528" s="50"/>
      <c r="F528" s="50"/>
      <c r="G528" s="280"/>
      <c r="H528" s="293"/>
      <c r="I528" s="292"/>
      <c r="J528" s="292"/>
      <c r="K528" s="200"/>
      <c r="L528" s="200"/>
      <c r="M528" s="89" t="str">
        <f>IFERROR(VLOOKUP(H528,Lijsten!$H$1:$I$100,2,0),"")</f>
        <v/>
      </c>
      <c r="N528" s="89" t="str" cm="1">
        <f t="array" ref="N528">IFERROR(_xlfn.IFS(AND(LEFT(F528,6)="Arbeid",RIGHT(F528,3)&lt;&gt;"IKS"),IFERROR(VLOOKUP($G528,Tb_KostenTypen[],2,0),"tarief"),RIGHT(F528,3)="IKS","Uurtarief",LEFT(F528,6)="Arbeid","Uurtarief",AND(LEFT(F528,8)="Bijdrage",RIGHT(F528,15)="(vrijwilligers)"),"Vast tarief"),"")</f>
        <v/>
      </c>
      <c r="O528" s="90"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0"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1"/>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59"/>
      <c r="Z528" s="49"/>
      <c r="AA528" s="37" t="str" cm="1">
        <f t="array" ref="AA528">IFERROR(IF(INDEX(SubsidieTabel!$Q$1:$T$9,MATCH($F528,SubsidieTabel!$Q$1:$Q$9,0),IFERROR(MATCH(Methode_Keuze,SubsidieTabel!$Q$1:$T$1,0),2))&lt;&gt;1=TRUE,"ja",""),"")</f>
        <v/>
      </c>
    </row>
    <row r="529" spans="1:27" ht="15" customHeight="1" x14ac:dyDescent="0.25">
      <c r="A529" s="85"/>
      <c r="B529" s="217" t="str">
        <f>IF(A529&lt;&gt;"",_xlfn.MAXIFS($B$1:B528,$A$1:A528,A529)+1,"")</f>
        <v/>
      </c>
      <c r="C529" s="50"/>
      <c r="D529" s="50"/>
      <c r="E529" s="50"/>
      <c r="F529" s="50"/>
      <c r="G529" s="280"/>
      <c r="H529" s="293"/>
      <c r="I529" s="292"/>
      <c r="J529" s="292"/>
      <c r="K529" s="200"/>
      <c r="L529" s="200"/>
      <c r="M529" s="89" t="str">
        <f>IFERROR(VLOOKUP(H529,Lijsten!$H$1:$I$100,2,0),"")</f>
        <v/>
      </c>
      <c r="N529" s="89" t="str" cm="1">
        <f t="array" ref="N529">IFERROR(_xlfn.IFS(AND(LEFT(F529,6)="Arbeid",RIGHT(F529,3)&lt;&gt;"IKS"),IFERROR(VLOOKUP($G529,Tb_KostenTypen[],2,0),"tarief"),RIGHT(F529,3)="IKS","Uurtarief",LEFT(F529,6)="Arbeid","Uurtarief",AND(LEFT(F529,8)="Bijdrage",RIGHT(F529,15)="(vrijwilligers)"),"Vast tarief"),"")</f>
        <v/>
      </c>
      <c r="O529" s="90"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0"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1"/>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59"/>
      <c r="Z529" s="49"/>
      <c r="AA529" s="37" t="str" cm="1">
        <f t="array" ref="AA529">IFERROR(IF(INDEX(SubsidieTabel!$Q$1:$T$9,MATCH($F529,SubsidieTabel!$Q$1:$Q$9,0),IFERROR(MATCH(Methode_Keuze,SubsidieTabel!$Q$1:$T$1,0),2))&lt;&gt;1=TRUE,"ja",""),"")</f>
        <v/>
      </c>
    </row>
    <row r="530" spans="1:27" ht="15" customHeight="1" x14ac:dyDescent="0.25">
      <c r="A530" s="85"/>
      <c r="B530" s="217" t="str">
        <f>IF(A530&lt;&gt;"",_xlfn.MAXIFS($B$1:B529,$A$1:A529,A530)+1,"")</f>
        <v/>
      </c>
      <c r="C530" s="50"/>
      <c r="D530" s="50"/>
      <c r="E530" s="50"/>
      <c r="F530" s="50"/>
      <c r="G530" s="280"/>
      <c r="H530" s="293"/>
      <c r="I530" s="292"/>
      <c r="J530" s="292"/>
      <c r="K530" s="200"/>
      <c r="L530" s="200"/>
      <c r="M530" s="89" t="str">
        <f>IFERROR(VLOOKUP(H530,Lijsten!$H$1:$I$100,2,0),"")</f>
        <v/>
      </c>
      <c r="N530" s="89" t="str" cm="1">
        <f t="array" ref="N530">IFERROR(_xlfn.IFS(AND(LEFT(F530,6)="Arbeid",RIGHT(F530,3)&lt;&gt;"IKS"),IFERROR(VLOOKUP($G530,Tb_KostenTypen[],2,0),"tarief"),RIGHT(F530,3)="IKS","Uurtarief",LEFT(F530,6)="Arbeid","Uurtarief",AND(LEFT(F530,8)="Bijdrage",RIGHT(F530,15)="(vrijwilligers)"),"Vast tarief"),"")</f>
        <v/>
      </c>
      <c r="O530" s="90"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0"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1"/>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59"/>
      <c r="Z530" s="49"/>
      <c r="AA530" s="37" t="str" cm="1">
        <f t="array" ref="AA530">IFERROR(IF(INDEX(SubsidieTabel!$Q$1:$T$9,MATCH($F530,SubsidieTabel!$Q$1:$Q$9,0),IFERROR(MATCH(Methode_Keuze,SubsidieTabel!$Q$1:$T$1,0),2))&lt;&gt;1=TRUE,"ja",""),"")</f>
        <v/>
      </c>
    </row>
    <row r="531" spans="1:27" ht="15" customHeight="1" x14ac:dyDescent="0.25">
      <c r="A531" s="85"/>
      <c r="B531" s="217" t="str">
        <f>IF(A531&lt;&gt;"",_xlfn.MAXIFS($B$1:B530,$A$1:A530,A531)+1,"")</f>
        <v/>
      </c>
      <c r="C531" s="50"/>
      <c r="D531" s="50"/>
      <c r="E531" s="50"/>
      <c r="F531" s="50"/>
      <c r="G531" s="280"/>
      <c r="H531" s="293"/>
      <c r="I531" s="292"/>
      <c r="J531" s="292"/>
      <c r="K531" s="200"/>
      <c r="L531" s="200"/>
      <c r="M531" s="89" t="str">
        <f>IFERROR(VLOOKUP(H531,Lijsten!$H$1:$I$100,2,0),"")</f>
        <v/>
      </c>
      <c r="N531" s="89" t="str" cm="1">
        <f t="array" ref="N531">IFERROR(_xlfn.IFS(AND(LEFT(F531,6)="Arbeid",RIGHT(F531,3)&lt;&gt;"IKS"),IFERROR(VLOOKUP($G531,Tb_KostenTypen[],2,0),"tarief"),RIGHT(F531,3)="IKS","Uurtarief",LEFT(F531,6)="Arbeid","Uurtarief",AND(LEFT(F531,8)="Bijdrage",RIGHT(F531,15)="(vrijwilligers)"),"Vast tarief"),"")</f>
        <v/>
      </c>
      <c r="O531" s="90"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0"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1"/>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59"/>
      <c r="Z531" s="49"/>
      <c r="AA531" s="37" t="str" cm="1">
        <f t="array" ref="AA531">IFERROR(IF(INDEX(SubsidieTabel!$Q$1:$T$9,MATCH($F531,SubsidieTabel!$Q$1:$Q$9,0),IFERROR(MATCH(Methode_Keuze,SubsidieTabel!$Q$1:$T$1,0),2))&lt;&gt;1=TRUE,"ja",""),"")</f>
        <v/>
      </c>
    </row>
    <row r="532" spans="1:27" ht="15" customHeight="1" x14ac:dyDescent="0.25">
      <c r="A532" s="85"/>
      <c r="B532" s="217" t="str">
        <f>IF(A532&lt;&gt;"",_xlfn.MAXIFS($B$1:B531,$A$1:A531,A532)+1,"")</f>
        <v/>
      </c>
      <c r="C532" s="50"/>
      <c r="D532" s="50"/>
      <c r="E532" s="50"/>
      <c r="F532" s="50"/>
      <c r="G532" s="280"/>
      <c r="H532" s="293"/>
      <c r="I532" s="292"/>
      <c r="J532" s="292"/>
      <c r="K532" s="200"/>
      <c r="L532" s="200"/>
      <c r="M532" s="89" t="str">
        <f>IFERROR(VLOOKUP(H532,Lijsten!$H$1:$I$100,2,0),"")</f>
        <v/>
      </c>
      <c r="N532" s="89" t="str" cm="1">
        <f t="array" ref="N532">IFERROR(_xlfn.IFS(AND(LEFT(F532,6)="Arbeid",RIGHT(F532,3)&lt;&gt;"IKS"),IFERROR(VLOOKUP($G532,Tb_KostenTypen[],2,0),"tarief"),RIGHT(F532,3)="IKS","Uurtarief",LEFT(F532,6)="Arbeid","Uurtarief",AND(LEFT(F532,8)="Bijdrage",RIGHT(F532,15)="(vrijwilligers)"),"Vast tarief"),"")</f>
        <v/>
      </c>
      <c r="O532" s="90"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0"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1"/>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59"/>
      <c r="Z532" s="49"/>
      <c r="AA532" s="37" t="str" cm="1">
        <f t="array" ref="AA532">IFERROR(IF(INDEX(SubsidieTabel!$Q$1:$T$9,MATCH($F532,SubsidieTabel!$Q$1:$Q$9,0),IFERROR(MATCH(Methode_Keuze,SubsidieTabel!$Q$1:$T$1,0),2))&lt;&gt;1=TRUE,"ja",""),"")</f>
        <v/>
      </c>
    </row>
    <row r="533" spans="1:27" ht="15" customHeight="1" x14ac:dyDescent="0.25">
      <c r="A533" s="85"/>
      <c r="B533" s="217" t="str">
        <f>IF(A533&lt;&gt;"",_xlfn.MAXIFS($B$1:B532,$A$1:A532,A533)+1,"")</f>
        <v/>
      </c>
      <c r="C533" s="50"/>
      <c r="D533" s="50"/>
      <c r="E533" s="50"/>
      <c r="F533" s="50"/>
      <c r="G533" s="280"/>
      <c r="H533" s="293"/>
      <c r="I533" s="292"/>
      <c r="J533" s="292"/>
      <c r="K533" s="200"/>
      <c r="L533" s="200"/>
      <c r="M533" s="89" t="str">
        <f>IFERROR(VLOOKUP(H533,Lijsten!$H$1:$I$100,2,0),"")</f>
        <v/>
      </c>
      <c r="N533" s="89" t="str" cm="1">
        <f t="array" ref="N533">IFERROR(_xlfn.IFS(AND(LEFT(F533,6)="Arbeid",RIGHT(F533,3)&lt;&gt;"IKS"),IFERROR(VLOOKUP($G533,Tb_KostenTypen[],2,0),"tarief"),RIGHT(F533,3)="IKS","Uurtarief",LEFT(F533,6)="Arbeid","Uurtarief",AND(LEFT(F533,8)="Bijdrage",RIGHT(F533,15)="(vrijwilligers)"),"Vast tarief"),"")</f>
        <v/>
      </c>
      <c r="O533" s="90"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0"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1"/>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59"/>
      <c r="Z533" s="49"/>
      <c r="AA533" s="37" t="str" cm="1">
        <f t="array" ref="AA533">IFERROR(IF(INDEX(SubsidieTabel!$Q$1:$T$9,MATCH($F533,SubsidieTabel!$Q$1:$Q$9,0),IFERROR(MATCH(Methode_Keuze,SubsidieTabel!$Q$1:$T$1,0),2))&lt;&gt;1=TRUE,"ja",""),"")</f>
        <v/>
      </c>
    </row>
    <row r="534" spans="1:27" ht="15" customHeight="1" x14ac:dyDescent="0.25">
      <c r="A534" s="85"/>
      <c r="B534" s="217" t="str">
        <f>IF(A534&lt;&gt;"",_xlfn.MAXIFS($B$1:B533,$A$1:A533,A534)+1,"")</f>
        <v/>
      </c>
      <c r="C534" s="50"/>
      <c r="D534" s="50"/>
      <c r="E534" s="50"/>
      <c r="F534" s="50"/>
      <c r="G534" s="280"/>
      <c r="H534" s="293"/>
      <c r="I534" s="292"/>
      <c r="J534" s="292"/>
      <c r="K534" s="200"/>
      <c r="L534" s="200"/>
      <c r="M534" s="89" t="str">
        <f>IFERROR(VLOOKUP(H534,Lijsten!$H$1:$I$100,2,0),"")</f>
        <v/>
      </c>
      <c r="N534" s="89" t="str" cm="1">
        <f t="array" ref="N534">IFERROR(_xlfn.IFS(AND(LEFT(F534,6)="Arbeid",RIGHT(F534,3)&lt;&gt;"IKS"),IFERROR(VLOOKUP($G534,Tb_KostenTypen[],2,0),"tarief"),RIGHT(F534,3)="IKS","Uurtarief",LEFT(F534,6)="Arbeid","Uurtarief",AND(LEFT(F534,8)="Bijdrage",RIGHT(F534,15)="(vrijwilligers)"),"Vast tarief"),"")</f>
        <v/>
      </c>
      <c r="O534" s="90"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0"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1"/>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59"/>
      <c r="Z534" s="49"/>
      <c r="AA534" s="37" t="str" cm="1">
        <f t="array" ref="AA534">IFERROR(IF(INDEX(SubsidieTabel!$Q$1:$T$9,MATCH($F534,SubsidieTabel!$Q$1:$Q$9,0),IFERROR(MATCH(Methode_Keuze,SubsidieTabel!$Q$1:$T$1,0),2))&lt;&gt;1=TRUE,"ja",""),"")</f>
        <v/>
      </c>
    </row>
    <row r="535" spans="1:27" ht="15" customHeight="1" x14ac:dyDescent="0.25">
      <c r="A535" s="85"/>
      <c r="B535" s="217" t="str">
        <f>IF(A535&lt;&gt;"",_xlfn.MAXIFS($B$1:B534,$A$1:A534,A535)+1,"")</f>
        <v/>
      </c>
      <c r="C535" s="50"/>
      <c r="D535" s="50"/>
      <c r="E535" s="50"/>
      <c r="F535" s="50"/>
      <c r="G535" s="280"/>
      <c r="H535" s="293"/>
      <c r="I535" s="292"/>
      <c r="J535" s="292"/>
      <c r="K535" s="200"/>
      <c r="L535" s="200"/>
      <c r="M535" s="89" t="str">
        <f>IFERROR(VLOOKUP(H535,Lijsten!$H$1:$I$100,2,0),"")</f>
        <v/>
      </c>
      <c r="N535" s="89" t="str" cm="1">
        <f t="array" ref="N535">IFERROR(_xlfn.IFS(AND(LEFT(F535,6)="Arbeid",RIGHT(F535,3)&lt;&gt;"IKS"),IFERROR(VLOOKUP($G535,Tb_KostenTypen[],2,0),"tarief"),RIGHT(F535,3)="IKS","Uurtarief",LEFT(F535,6)="Arbeid","Uurtarief",AND(LEFT(F535,8)="Bijdrage",RIGHT(F535,15)="(vrijwilligers)"),"Vast tarief"),"")</f>
        <v/>
      </c>
      <c r="O535" s="90"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0"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1"/>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59"/>
      <c r="Z535" s="49"/>
      <c r="AA535" s="37" t="str" cm="1">
        <f t="array" ref="AA535">IFERROR(IF(INDEX(SubsidieTabel!$Q$1:$T$9,MATCH($F535,SubsidieTabel!$Q$1:$Q$9,0),IFERROR(MATCH(Methode_Keuze,SubsidieTabel!$Q$1:$T$1,0),2))&lt;&gt;1=TRUE,"ja",""),"")</f>
        <v/>
      </c>
    </row>
    <row r="536" spans="1:27" ht="15" customHeight="1" x14ac:dyDescent="0.25">
      <c r="A536" s="85"/>
      <c r="B536" s="217" t="str">
        <f>IF(A536&lt;&gt;"",_xlfn.MAXIFS($B$1:B535,$A$1:A535,A536)+1,"")</f>
        <v/>
      </c>
      <c r="C536" s="50"/>
      <c r="D536" s="50"/>
      <c r="E536" s="50"/>
      <c r="F536" s="50"/>
      <c r="G536" s="280"/>
      <c r="H536" s="293"/>
      <c r="I536" s="292"/>
      <c r="J536" s="292"/>
      <c r="K536" s="200"/>
      <c r="L536" s="200"/>
      <c r="M536" s="89" t="str">
        <f>IFERROR(VLOOKUP(H536,Lijsten!$H$1:$I$100,2,0),"")</f>
        <v/>
      </c>
      <c r="N536" s="89" t="str" cm="1">
        <f t="array" ref="N536">IFERROR(_xlfn.IFS(AND(LEFT(F536,6)="Arbeid",RIGHT(F536,3)&lt;&gt;"IKS"),IFERROR(VLOOKUP($G536,Tb_KostenTypen[],2,0),"tarief"),RIGHT(F536,3)="IKS","Uurtarief",LEFT(F536,6)="Arbeid","Uurtarief",AND(LEFT(F536,8)="Bijdrage",RIGHT(F536,15)="(vrijwilligers)"),"Vast tarief"),"")</f>
        <v/>
      </c>
      <c r="O536" s="90"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0"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1"/>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59"/>
      <c r="Z536" s="49"/>
      <c r="AA536" s="37" t="str" cm="1">
        <f t="array" ref="AA536">IFERROR(IF(INDEX(SubsidieTabel!$Q$1:$T$9,MATCH($F536,SubsidieTabel!$Q$1:$Q$9,0),IFERROR(MATCH(Methode_Keuze,SubsidieTabel!$Q$1:$T$1,0),2))&lt;&gt;1=TRUE,"ja",""),"")</f>
        <v/>
      </c>
    </row>
    <row r="537" spans="1:27" ht="15" customHeight="1" x14ac:dyDescent="0.25">
      <c r="A537" s="85"/>
      <c r="B537" s="217" t="str">
        <f>IF(A537&lt;&gt;"",_xlfn.MAXIFS($B$1:B536,$A$1:A536,A537)+1,"")</f>
        <v/>
      </c>
      <c r="C537" s="50"/>
      <c r="D537" s="50"/>
      <c r="E537" s="50"/>
      <c r="F537" s="50"/>
      <c r="G537" s="280"/>
      <c r="H537" s="293"/>
      <c r="I537" s="292"/>
      <c r="J537" s="292"/>
      <c r="K537" s="200"/>
      <c r="L537" s="200"/>
      <c r="M537" s="89" t="str">
        <f>IFERROR(VLOOKUP(H537,Lijsten!$H$1:$I$100,2,0),"")</f>
        <v/>
      </c>
      <c r="N537" s="89" t="str" cm="1">
        <f t="array" ref="N537">IFERROR(_xlfn.IFS(AND(LEFT(F537,6)="Arbeid",RIGHT(F537,3)&lt;&gt;"IKS"),IFERROR(VLOOKUP($G537,Tb_KostenTypen[],2,0),"tarief"),RIGHT(F537,3)="IKS","Uurtarief",LEFT(F537,6)="Arbeid","Uurtarief",AND(LEFT(F537,8)="Bijdrage",RIGHT(F537,15)="(vrijwilligers)"),"Vast tarief"),"")</f>
        <v/>
      </c>
      <c r="O537" s="90"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0"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1"/>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59"/>
      <c r="Z537" s="49"/>
      <c r="AA537" s="37" t="str" cm="1">
        <f t="array" ref="AA537">IFERROR(IF(INDEX(SubsidieTabel!$Q$1:$T$9,MATCH($F537,SubsidieTabel!$Q$1:$Q$9,0),IFERROR(MATCH(Methode_Keuze,SubsidieTabel!$Q$1:$T$1,0),2))&lt;&gt;1=TRUE,"ja",""),"")</f>
        <v/>
      </c>
    </row>
    <row r="538" spans="1:27" ht="15" customHeight="1" x14ac:dyDescent="0.25">
      <c r="A538" s="85"/>
      <c r="B538" s="217" t="str">
        <f>IF(A538&lt;&gt;"",_xlfn.MAXIFS($B$1:B537,$A$1:A537,A538)+1,"")</f>
        <v/>
      </c>
      <c r="C538" s="50"/>
      <c r="D538" s="50"/>
      <c r="E538" s="50"/>
      <c r="F538" s="50"/>
      <c r="G538" s="280"/>
      <c r="H538" s="293"/>
      <c r="I538" s="292"/>
      <c r="J538" s="292"/>
      <c r="K538" s="200"/>
      <c r="L538" s="200"/>
      <c r="M538" s="89" t="str">
        <f>IFERROR(VLOOKUP(H538,Lijsten!$H$1:$I$100,2,0),"")</f>
        <v/>
      </c>
      <c r="N538" s="89" t="str" cm="1">
        <f t="array" ref="N538">IFERROR(_xlfn.IFS(AND(LEFT(F538,6)="Arbeid",RIGHT(F538,3)&lt;&gt;"IKS"),IFERROR(VLOOKUP($G538,Tb_KostenTypen[],2,0),"tarief"),RIGHT(F538,3)="IKS","Uurtarief",LEFT(F538,6)="Arbeid","Uurtarief",AND(LEFT(F538,8)="Bijdrage",RIGHT(F538,15)="(vrijwilligers)"),"Vast tarief"),"")</f>
        <v/>
      </c>
      <c r="O538" s="90"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0"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1"/>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59"/>
      <c r="Z538" s="49"/>
      <c r="AA538" s="37" t="str" cm="1">
        <f t="array" ref="AA538">IFERROR(IF(INDEX(SubsidieTabel!$Q$1:$T$9,MATCH($F538,SubsidieTabel!$Q$1:$Q$9,0),IFERROR(MATCH(Methode_Keuze,SubsidieTabel!$Q$1:$T$1,0),2))&lt;&gt;1=TRUE,"ja",""),"")</f>
        <v/>
      </c>
    </row>
    <row r="539" spans="1:27" ht="15" customHeight="1" x14ac:dyDescent="0.25">
      <c r="A539" s="85"/>
      <c r="B539" s="217" t="str">
        <f>IF(A539&lt;&gt;"",_xlfn.MAXIFS($B$1:B538,$A$1:A538,A539)+1,"")</f>
        <v/>
      </c>
      <c r="C539" s="50"/>
      <c r="D539" s="50"/>
      <c r="E539" s="50"/>
      <c r="F539" s="50"/>
      <c r="G539" s="280"/>
      <c r="H539" s="293"/>
      <c r="I539" s="292"/>
      <c r="J539" s="292"/>
      <c r="K539" s="200"/>
      <c r="L539" s="200"/>
      <c r="M539" s="89" t="str">
        <f>IFERROR(VLOOKUP(H539,Lijsten!$H$1:$I$100,2,0),"")</f>
        <v/>
      </c>
      <c r="N539" s="89" t="str" cm="1">
        <f t="array" ref="N539">IFERROR(_xlfn.IFS(AND(LEFT(F539,6)="Arbeid",RIGHT(F539,3)&lt;&gt;"IKS"),IFERROR(VLOOKUP($G539,Tb_KostenTypen[],2,0),"tarief"),RIGHT(F539,3)="IKS","Uurtarief",LEFT(F539,6)="Arbeid","Uurtarief",AND(LEFT(F539,8)="Bijdrage",RIGHT(F539,15)="(vrijwilligers)"),"Vast tarief"),"")</f>
        <v/>
      </c>
      <c r="O539" s="90"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0"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1"/>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59"/>
      <c r="Z539" s="49"/>
      <c r="AA539" s="37" t="str" cm="1">
        <f t="array" ref="AA539">IFERROR(IF(INDEX(SubsidieTabel!$Q$1:$T$9,MATCH($F539,SubsidieTabel!$Q$1:$Q$9,0),IFERROR(MATCH(Methode_Keuze,SubsidieTabel!$Q$1:$T$1,0),2))&lt;&gt;1=TRUE,"ja",""),"")</f>
        <v/>
      </c>
    </row>
    <row r="540" spans="1:27" ht="15" customHeight="1" x14ac:dyDescent="0.25">
      <c r="A540" s="85"/>
      <c r="B540" s="217" t="str">
        <f>IF(A540&lt;&gt;"",_xlfn.MAXIFS($B$1:B539,$A$1:A539,A540)+1,"")</f>
        <v/>
      </c>
      <c r="C540" s="50"/>
      <c r="D540" s="50"/>
      <c r="E540" s="50"/>
      <c r="F540" s="50"/>
      <c r="G540" s="280"/>
      <c r="H540" s="293"/>
      <c r="I540" s="292"/>
      <c r="J540" s="292"/>
      <c r="K540" s="200"/>
      <c r="L540" s="200"/>
      <c r="M540" s="89" t="str">
        <f>IFERROR(VLOOKUP(H540,Lijsten!$H$1:$I$100,2,0),"")</f>
        <v/>
      </c>
      <c r="N540" s="89" t="str" cm="1">
        <f t="array" ref="N540">IFERROR(_xlfn.IFS(AND(LEFT(F540,6)="Arbeid",RIGHT(F540,3)&lt;&gt;"IKS"),IFERROR(VLOOKUP($G540,Tb_KostenTypen[],2,0),"tarief"),RIGHT(F540,3)="IKS","Uurtarief",LEFT(F540,6)="Arbeid","Uurtarief",AND(LEFT(F540,8)="Bijdrage",RIGHT(F540,15)="(vrijwilligers)"),"Vast tarief"),"")</f>
        <v/>
      </c>
      <c r="O540" s="90"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0"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1"/>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59"/>
      <c r="Z540" s="49"/>
      <c r="AA540" s="37" t="str" cm="1">
        <f t="array" ref="AA540">IFERROR(IF(INDEX(SubsidieTabel!$Q$1:$T$9,MATCH($F540,SubsidieTabel!$Q$1:$Q$9,0),IFERROR(MATCH(Methode_Keuze,SubsidieTabel!$Q$1:$T$1,0),2))&lt;&gt;1=TRUE,"ja",""),"")</f>
        <v/>
      </c>
    </row>
    <row r="541" spans="1:27" ht="15" customHeight="1" x14ac:dyDescent="0.25">
      <c r="A541" s="85"/>
      <c r="B541" s="217" t="str">
        <f>IF(A541&lt;&gt;"",_xlfn.MAXIFS($B$1:B540,$A$1:A540,A541)+1,"")</f>
        <v/>
      </c>
      <c r="C541" s="50"/>
      <c r="D541" s="50"/>
      <c r="E541" s="50"/>
      <c r="F541" s="50"/>
      <c r="G541" s="280"/>
      <c r="H541" s="293"/>
      <c r="I541" s="292"/>
      <c r="J541" s="292"/>
      <c r="K541" s="200"/>
      <c r="L541" s="200"/>
      <c r="M541" s="89" t="str">
        <f>IFERROR(VLOOKUP(H541,Lijsten!$H$1:$I$100,2,0),"")</f>
        <v/>
      </c>
      <c r="N541" s="89" t="str" cm="1">
        <f t="array" ref="N541">IFERROR(_xlfn.IFS(AND(LEFT(F541,6)="Arbeid",RIGHT(F541,3)&lt;&gt;"IKS"),IFERROR(VLOOKUP($G541,Tb_KostenTypen[],2,0),"tarief"),RIGHT(F541,3)="IKS","Uurtarief",LEFT(F541,6)="Arbeid","Uurtarief",AND(LEFT(F541,8)="Bijdrage",RIGHT(F541,15)="(vrijwilligers)"),"Vast tarief"),"")</f>
        <v/>
      </c>
      <c r="O541" s="90"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0"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1"/>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59"/>
      <c r="Z541" s="49"/>
      <c r="AA541" s="37" t="str" cm="1">
        <f t="array" ref="AA541">IFERROR(IF(INDEX(SubsidieTabel!$Q$1:$T$9,MATCH($F541,SubsidieTabel!$Q$1:$Q$9,0),IFERROR(MATCH(Methode_Keuze,SubsidieTabel!$Q$1:$T$1,0),2))&lt;&gt;1=TRUE,"ja",""),"")</f>
        <v/>
      </c>
    </row>
    <row r="542" spans="1:27" ht="15" customHeight="1" x14ac:dyDescent="0.25">
      <c r="A542" s="85"/>
      <c r="B542" s="217" t="str">
        <f>IF(A542&lt;&gt;"",_xlfn.MAXIFS($B$1:B541,$A$1:A541,A542)+1,"")</f>
        <v/>
      </c>
      <c r="C542" s="50"/>
      <c r="D542" s="50"/>
      <c r="E542" s="50"/>
      <c r="F542" s="50"/>
      <c r="G542" s="280"/>
      <c r="H542" s="293"/>
      <c r="I542" s="292"/>
      <c r="J542" s="292"/>
      <c r="K542" s="200"/>
      <c r="L542" s="200"/>
      <c r="M542" s="89" t="str">
        <f>IFERROR(VLOOKUP(H542,Lijsten!$H$1:$I$100,2,0),"")</f>
        <v/>
      </c>
      <c r="N542" s="89" t="str" cm="1">
        <f t="array" ref="N542">IFERROR(_xlfn.IFS(AND(LEFT(F542,6)="Arbeid",RIGHT(F542,3)&lt;&gt;"IKS"),IFERROR(VLOOKUP($G542,Tb_KostenTypen[],2,0),"tarief"),RIGHT(F542,3)="IKS","Uurtarief",LEFT(F542,6)="Arbeid","Uurtarief",AND(LEFT(F542,8)="Bijdrage",RIGHT(F542,15)="(vrijwilligers)"),"Vast tarief"),"")</f>
        <v/>
      </c>
      <c r="O542" s="90"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0"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1"/>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59"/>
      <c r="Z542" s="49"/>
      <c r="AA542" s="37" t="str" cm="1">
        <f t="array" ref="AA542">IFERROR(IF(INDEX(SubsidieTabel!$Q$1:$T$9,MATCH($F542,SubsidieTabel!$Q$1:$Q$9,0),IFERROR(MATCH(Methode_Keuze,SubsidieTabel!$Q$1:$T$1,0),2))&lt;&gt;1=TRUE,"ja",""),"")</f>
        <v/>
      </c>
    </row>
    <row r="543" spans="1:27" ht="15" customHeight="1" x14ac:dyDescent="0.25">
      <c r="A543" s="85"/>
      <c r="B543" s="217" t="str">
        <f>IF(A543&lt;&gt;"",_xlfn.MAXIFS($B$1:B542,$A$1:A542,A543)+1,"")</f>
        <v/>
      </c>
      <c r="C543" s="50"/>
      <c r="D543" s="50"/>
      <c r="E543" s="50"/>
      <c r="F543" s="50"/>
      <c r="G543" s="280"/>
      <c r="H543" s="293"/>
      <c r="I543" s="292"/>
      <c r="J543" s="292"/>
      <c r="K543" s="200"/>
      <c r="L543" s="200"/>
      <c r="M543" s="89" t="str">
        <f>IFERROR(VLOOKUP(H543,Lijsten!$H$1:$I$100,2,0),"")</f>
        <v/>
      </c>
      <c r="N543" s="89" t="str" cm="1">
        <f t="array" ref="N543">IFERROR(_xlfn.IFS(AND(LEFT(F543,6)="Arbeid",RIGHT(F543,3)&lt;&gt;"IKS"),IFERROR(VLOOKUP($G543,Tb_KostenTypen[],2,0),"tarief"),RIGHT(F543,3)="IKS","Uurtarief",LEFT(F543,6)="Arbeid","Uurtarief",AND(LEFT(F543,8)="Bijdrage",RIGHT(F543,15)="(vrijwilligers)"),"Vast tarief"),"")</f>
        <v/>
      </c>
      <c r="O543" s="90"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0"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1"/>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59"/>
      <c r="Z543" s="49"/>
      <c r="AA543" s="37" t="str" cm="1">
        <f t="array" ref="AA543">IFERROR(IF(INDEX(SubsidieTabel!$Q$1:$T$9,MATCH($F543,SubsidieTabel!$Q$1:$Q$9,0),IFERROR(MATCH(Methode_Keuze,SubsidieTabel!$Q$1:$T$1,0),2))&lt;&gt;1=TRUE,"ja",""),"")</f>
        <v/>
      </c>
    </row>
    <row r="544" spans="1:27" ht="15" customHeight="1" x14ac:dyDescent="0.25">
      <c r="A544" s="85"/>
      <c r="B544" s="217" t="str">
        <f>IF(A544&lt;&gt;"",_xlfn.MAXIFS($B$1:B543,$A$1:A543,A544)+1,"")</f>
        <v/>
      </c>
      <c r="C544" s="50"/>
      <c r="D544" s="50"/>
      <c r="E544" s="50"/>
      <c r="F544" s="50"/>
      <c r="G544" s="280"/>
      <c r="H544" s="293"/>
      <c r="I544" s="292"/>
      <c r="J544" s="292"/>
      <c r="K544" s="200"/>
      <c r="L544" s="200"/>
      <c r="M544" s="89" t="str">
        <f>IFERROR(VLOOKUP(H544,Lijsten!$H$1:$I$100,2,0),"")</f>
        <v/>
      </c>
      <c r="N544" s="89" t="str" cm="1">
        <f t="array" ref="N544">IFERROR(_xlfn.IFS(AND(LEFT(F544,6)="Arbeid",RIGHT(F544,3)&lt;&gt;"IKS"),IFERROR(VLOOKUP($G544,Tb_KostenTypen[],2,0),"tarief"),RIGHT(F544,3)="IKS","Uurtarief",LEFT(F544,6)="Arbeid","Uurtarief",AND(LEFT(F544,8)="Bijdrage",RIGHT(F544,15)="(vrijwilligers)"),"Vast tarief"),"")</f>
        <v/>
      </c>
      <c r="O544" s="90"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0"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1"/>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59"/>
      <c r="Z544" s="49"/>
      <c r="AA544" s="37" t="str" cm="1">
        <f t="array" ref="AA544">IFERROR(IF(INDEX(SubsidieTabel!$Q$1:$T$9,MATCH($F544,SubsidieTabel!$Q$1:$Q$9,0),IFERROR(MATCH(Methode_Keuze,SubsidieTabel!$Q$1:$T$1,0),2))&lt;&gt;1=TRUE,"ja",""),"")</f>
        <v/>
      </c>
    </row>
    <row r="545" spans="1:27" ht="15" customHeight="1" x14ac:dyDescent="0.25">
      <c r="A545" s="85"/>
      <c r="B545" s="217" t="str">
        <f>IF(A545&lt;&gt;"",_xlfn.MAXIFS($B$1:B544,$A$1:A544,A545)+1,"")</f>
        <v/>
      </c>
      <c r="C545" s="50"/>
      <c r="D545" s="50"/>
      <c r="E545" s="50"/>
      <c r="F545" s="50"/>
      <c r="G545" s="280"/>
      <c r="H545" s="293"/>
      <c r="I545" s="292"/>
      <c r="J545" s="292"/>
      <c r="K545" s="200"/>
      <c r="L545" s="200"/>
      <c r="M545" s="89" t="str">
        <f>IFERROR(VLOOKUP(H545,Lijsten!$H$1:$I$100,2,0),"")</f>
        <v/>
      </c>
      <c r="N545" s="89" t="str" cm="1">
        <f t="array" ref="N545">IFERROR(_xlfn.IFS(AND(LEFT(F545,6)="Arbeid",RIGHT(F545,3)&lt;&gt;"IKS"),IFERROR(VLOOKUP($G545,Tb_KostenTypen[],2,0),"tarief"),RIGHT(F545,3)="IKS","Uurtarief",LEFT(F545,6)="Arbeid","Uurtarief",AND(LEFT(F545,8)="Bijdrage",RIGHT(F545,15)="(vrijwilligers)"),"Vast tarief"),"")</f>
        <v/>
      </c>
      <c r="O545" s="90"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0"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1"/>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59"/>
      <c r="Z545" s="49"/>
      <c r="AA545" s="37" t="str" cm="1">
        <f t="array" ref="AA545">IFERROR(IF(INDEX(SubsidieTabel!$Q$1:$T$9,MATCH($F545,SubsidieTabel!$Q$1:$Q$9,0),IFERROR(MATCH(Methode_Keuze,SubsidieTabel!$Q$1:$T$1,0),2))&lt;&gt;1=TRUE,"ja",""),"")</f>
        <v/>
      </c>
    </row>
    <row r="546" spans="1:27" ht="15" customHeight="1" x14ac:dyDescent="0.25">
      <c r="A546" s="85"/>
      <c r="B546" s="217" t="str">
        <f>IF(A546&lt;&gt;"",_xlfn.MAXIFS($B$1:B545,$A$1:A545,A546)+1,"")</f>
        <v/>
      </c>
      <c r="C546" s="50"/>
      <c r="D546" s="50"/>
      <c r="E546" s="50"/>
      <c r="F546" s="50"/>
      <c r="G546" s="280"/>
      <c r="H546" s="293"/>
      <c r="I546" s="292"/>
      <c r="J546" s="292"/>
      <c r="K546" s="200"/>
      <c r="L546" s="200"/>
      <c r="M546" s="89" t="str">
        <f>IFERROR(VLOOKUP(H546,Lijsten!$H$1:$I$100,2,0),"")</f>
        <v/>
      </c>
      <c r="N546" s="89" t="str" cm="1">
        <f t="array" ref="N546">IFERROR(_xlfn.IFS(AND(LEFT(F546,6)="Arbeid",RIGHT(F546,3)&lt;&gt;"IKS"),IFERROR(VLOOKUP($G546,Tb_KostenTypen[],2,0),"tarief"),RIGHT(F546,3)="IKS","Uurtarief",LEFT(F546,6)="Arbeid","Uurtarief",AND(LEFT(F546,8)="Bijdrage",RIGHT(F546,15)="(vrijwilligers)"),"Vast tarief"),"")</f>
        <v/>
      </c>
      <c r="O546" s="90"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0"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1"/>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59"/>
      <c r="Z546" s="49"/>
      <c r="AA546" s="37" t="str" cm="1">
        <f t="array" ref="AA546">IFERROR(IF(INDEX(SubsidieTabel!$Q$1:$T$9,MATCH($F546,SubsidieTabel!$Q$1:$Q$9,0),IFERROR(MATCH(Methode_Keuze,SubsidieTabel!$Q$1:$T$1,0),2))&lt;&gt;1=TRUE,"ja",""),"")</f>
        <v/>
      </c>
    </row>
    <row r="547" spans="1:27" ht="15" customHeight="1" x14ac:dyDescent="0.25">
      <c r="A547" s="85"/>
      <c r="B547" s="217" t="str">
        <f>IF(A547&lt;&gt;"",_xlfn.MAXIFS($B$1:B546,$A$1:A546,A547)+1,"")</f>
        <v/>
      </c>
      <c r="C547" s="50"/>
      <c r="D547" s="50"/>
      <c r="E547" s="50"/>
      <c r="F547" s="50"/>
      <c r="G547" s="280"/>
      <c r="H547" s="293"/>
      <c r="I547" s="292"/>
      <c r="J547" s="292"/>
      <c r="K547" s="200"/>
      <c r="L547" s="200"/>
      <c r="M547" s="89" t="str">
        <f>IFERROR(VLOOKUP(H547,Lijsten!$H$1:$I$100,2,0),"")</f>
        <v/>
      </c>
      <c r="N547" s="89" t="str" cm="1">
        <f t="array" ref="N547">IFERROR(_xlfn.IFS(AND(LEFT(F547,6)="Arbeid",RIGHT(F547,3)&lt;&gt;"IKS"),IFERROR(VLOOKUP($G547,Tb_KostenTypen[],2,0),"tarief"),RIGHT(F547,3)="IKS","Uurtarief",LEFT(F547,6)="Arbeid","Uurtarief",AND(LEFT(F547,8)="Bijdrage",RIGHT(F547,15)="(vrijwilligers)"),"Vast tarief"),"")</f>
        <v/>
      </c>
      <c r="O547" s="90"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0"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1"/>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59"/>
      <c r="Z547" s="49"/>
      <c r="AA547" s="37" t="str" cm="1">
        <f t="array" ref="AA547">IFERROR(IF(INDEX(SubsidieTabel!$Q$1:$T$9,MATCH($F547,SubsidieTabel!$Q$1:$Q$9,0),IFERROR(MATCH(Methode_Keuze,SubsidieTabel!$Q$1:$T$1,0),2))&lt;&gt;1=TRUE,"ja",""),"")</f>
        <v/>
      </c>
    </row>
    <row r="548" spans="1:27" ht="15" customHeight="1" x14ac:dyDescent="0.25">
      <c r="A548" s="85"/>
      <c r="B548" s="217" t="str">
        <f>IF(A548&lt;&gt;"",_xlfn.MAXIFS($B$1:B547,$A$1:A547,A548)+1,"")</f>
        <v/>
      </c>
      <c r="C548" s="50"/>
      <c r="D548" s="50"/>
      <c r="E548" s="50"/>
      <c r="F548" s="50"/>
      <c r="G548" s="280"/>
      <c r="H548" s="293"/>
      <c r="I548" s="292"/>
      <c r="J548" s="292"/>
      <c r="K548" s="200"/>
      <c r="L548" s="200"/>
      <c r="M548" s="89" t="str">
        <f>IFERROR(VLOOKUP(H548,Lijsten!$H$1:$I$100,2,0),"")</f>
        <v/>
      </c>
      <c r="N548" s="89" t="str" cm="1">
        <f t="array" ref="N548">IFERROR(_xlfn.IFS(AND(LEFT(F548,6)="Arbeid",RIGHT(F548,3)&lt;&gt;"IKS"),IFERROR(VLOOKUP($G548,Tb_KostenTypen[],2,0),"tarief"),RIGHT(F548,3)="IKS","Uurtarief",LEFT(F548,6)="Arbeid","Uurtarief",AND(LEFT(F548,8)="Bijdrage",RIGHT(F548,15)="(vrijwilligers)"),"Vast tarief"),"")</f>
        <v/>
      </c>
      <c r="O548" s="90"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0"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1"/>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59"/>
      <c r="Z548" s="49"/>
      <c r="AA548" s="37" t="str" cm="1">
        <f t="array" ref="AA548">IFERROR(IF(INDEX(SubsidieTabel!$Q$1:$T$9,MATCH($F548,SubsidieTabel!$Q$1:$Q$9,0),IFERROR(MATCH(Methode_Keuze,SubsidieTabel!$Q$1:$T$1,0),2))&lt;&gt;1=TRUE,"ja",""),"")</f>
        <v/>
      </c>
    </row>
    <row r="549" spans="1:27" ht="15" customHeight="1" x14ac:dyDescent="0.25">
      <c r="A549" s="85"/>
      <c r="B549" s="217" t="str">
        <f>IF(A549&lt;&gt;"",_xlfn.MAXIFS($B$1:B548,$A$1:A548,A549)+1,"")</f>
        <v/>
      </c>
      <c r="C549" s="50"/>
      <c r="D549" s="50"/>
      <c r="E549" s="50"/>
      <c r="F549" s="50"/>
      <c r="G549" s="280"/>
      <c r="H549" s="293"/>
      <c r="I549" s="292"/>
      <c r="J549" s="292"/>
      <c r="K549" s="200"/>
      <c r="L549" s="200"/>
      <c r="M549" s="89" t="str">
        <f>IFERROR(VLOOKUP(H549,Lijsten!$H$1:$I$100,2,0),"")</f>
        <v/>
      </c>
      <c r="N549" s="89" t="str" cm="1">
        <f t="array" ref="N549">IFERROR(_xlfn.IFS(AND(LEFT(F549,6)="Arbeid",RIGHT(F549,3)&lt;&gt;"IKS"),IFERROR(VLOOKUP($G549,Tb_KostenTypen[],2,0),"tarief"),RIGHT(F549,3)="IKS","Uurtarief",LEFT(F549,6)="Arbeid","Uurtarief",AND(LEFT(F549,8)="Bijdrage",RIGHT(F549,15)="(vrijwilligers)"),"Vast tarief"),"")</f>
        <v/>
      </c>
      <c r="O549" s="90"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0"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1"/>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59"/>
      <c r="Z549" s="49"/>
      <c r="AA549" s="37" t="str" cm="1">
        <f t="array" ref="AA549">IFERROR(IF(INDEX(SubsidieTabel!$Q$1:$T$9,MATCH($F549,SubsidieTabel!$Q$1:$Q$9,0),IFERROR(MATCH(Methode_Keuze,SubsidieTabel!$Q$1:$T$1,0),2))&lt;&gt;1=TRUE,"ja",""),"")</f>
        <v/>
      </c>
    </row>
    <row r="550" spans="1:27" ht="15" customHeight="1" x14ac:dyDescent="0.25">
      <c r="A550" s="85"/>
      <c r="B550" s="217" t="str">
        <f>IF(A550&lt;&gt;"",_xlfn.MAXIFS($B$1:B549,$A$1:A549,A550)+1,"")</f>
        <v/>
      </c>
      <c r="C550" s="50"/>
      <c r="D550" s="50"/>
      <c r="E550" s="50"/>
      <c r="F550" s="50"/>
      <c r="G550" s="280"/>
      <c r="H550" s="293"/>
      <c r="I550" s="292"/>
      <c r="J550" s="292"/>
      <c r="K550" s="200"/>
      <c r="L550" s="200"/>
      <c r="M550" s="89" t="str">
        <f>IFERROR(VLOOKUP(H550,Lijsten!$H$1:$I$100,2,0),"")</f>
        <v/>
      </c>
      <c r="N550" s="89" t="str" cm="1">
        <f t="array" ref="N550">IFERROR(_xlfn.IFS(AND(LEFT(F550,6)="Arbeid",RIGHT(F550,3)&lt;&gt;"IKS"),IFERROR(VLOOKUP($G550,Tb_KostenTypen[],2,0),"tarief"),RIGHT(F550,3)="IKS","Uurtarief",LEFT(F550,6)="Arbeid","Uurtarief",AND(LEFT(F550,8)="Bijdrage",RIGHT(F550,15)="(vrijwilligers)"),"Vast tarief"),"")</f>
        <v/>
      </c>
      <c r="O550" s="90"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0"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1"/>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59"/>
      <c r="Z550" s="49"/>
      <c r="AA550" s="37" t="str" cm="1">
        <f t="array" ref="AA550">IFERROR(IF(INDEX(SubsidieTabel!$Q$1:$T$9,MATCH($F550,SubsidieTabel!$Q$1:$Q$9,0),IFERROR(MATCH(Methode_Keuze,SubsidieTabel!$Q$1:$T$1,0),2))&lt;&gt;1=TRUE,"ja",""),"")</f>
        <v/>
      </c>
    </row>
    <row r="551" spans="1:27" ht="15" customHeight="1" x14ac:dyDescent="0.25">
      <c r="A551" s="85"/>
      <c r="B551" s="217" t="str">
        <f>IF(A551&lt;&gt;"",_xlfn.MAXIFS($B$1:B550,$A$1:A550,A551)+1,"")</f>
        <v/>
      </c>
      <c r="C551" s="50"/>
      <c r="D551" s="50"/>
      <c r="E551" s="50"/>
      <c r="F551" s="50"/>
      <c r="G551" s="280"/>
      <c r="H551" s="293"/>
      <c r="I551" s="292"/>
      <c r="J551" s="292"/>
      <c r="K551" s="200"/>
      <c r="L551" s="200"/>
      <c r="M551" s="89" t="str">
        <f>IFERROR(VLOOKUP(H551,Lijsten!$H$1:$I$100,2,0),"")</f>
        <v/>
      </c>
      <c r="N551" s="89" t="str" cm="1">
        <f t="array" ref="N551">IFERROR(_xlfn.IFS(AND(LEFT(F551,6)="Arbeid",RIGHT(F551,3)&lt;&gt;"IKS"),IFERROR(VLOOKUP($G551,Tb_KostenTypen[],2,0),"tarief"),RIGHT(F551,3)="IKS","Uurtarief",LEFT(F551,6)="Arbeid","Uurtarief",AND(LEFT(F551,8)="Bijdrage",RIGHT(F551,15)="(vrijwilligers)"),"Vast tarief"),"")</f>
        <v/>
      </c>
      <c r="O551" s="90"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0"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1"/>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59"/>
      <c r="Z551" s="49"/>
      <c r="AA551" s="37" t="str" cm="1">
        <f t="array" ref="AA551">IFERROR(IF(INDEX(SubsidieTabel!$Q$1:$T$9,MATCH($F551,SubsidieTabel!$Q$1:$Q$9,0),IFERROR(MATCH(Methode_Keuze,SubsidieTabel!$Q$1:$T$1,0),2))&lt;&gt;1=TRUE,"ja",""),"")</f>
        <v/>
      </c>
    </row>
    <row r="552" spans="1:27" ht="15" customHeight="1" x14ac:dyDescent="0.25">
      <c r="A552" s="85"/>
      <c r="B552" s="217" t="str">
        <f>IF(A552&lt;&gt;"",_xlfn.MAXIFS($B$1:B551,$A$1:A551,A552)+1,"")</f>
        <v/>
      </c>
      <c r="C552" s="50"/>
      <c r="D552" s="50"/>
      <c r="E552" s="50"/>
      <c r="F552" s="50"/>
      <c r="G552" s="280"/>
      <c r="H552" s="293"/>
      <c r="I552" s="292"/>
      <c r="J552" s="292"/>
      <c r="K552" s="200"/>
      <c r="L552" s="200"/>
      <c r="M552" s="89" t="str">
        <f>IFERROR(VLOOKUP(H552,Lijsten!$H$1:$I$100,2,0),"")</f>
        <v/>
      </c>
      <c r="N552" s="89" t="str" cm="1">
        <f t="array" ref="N552">IFERROR(_xlfn.IFS(AND(LEFT(F552,6)="Arbeid",RIGHT(F552,3)&lt;&gt;"IKS"),IFERROR(VLOOKUP($G552,Tb_KostenTypen[],2,0),"tarief"),RIGHT(F552,3)="IKS","Uurtarief",LEFT(F552,6)="Arbeid","Uurtarief",AND(LEFT(F552,8)="Bijdrage",RIGHT(F552,15)="(vrijwilligers)"),"Vast tarief"),"")</f>
        <v/>
      </c>
      <c r="O552" s="90"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0"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1"/>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59"/>
      <c r="Z552" s="49"/>
      <c r="AA552" s="37" t="str" cm="1">
        <f t="array" ref="AA552">IFERROR(IF(INDEX(SubsidieTabel!$Q$1:$T$9,MATCH($F552,SubsidieTabel!$Q$1:$Q$9,0),IFERROR(MATCH(Methode_Keuze,SubsidieTabel!$Q$1:$T$1,0),2))&lt;&gt;1=TRUE,"ja",""),"")</f>
        <v/>
      </c>
    </row>
    <row r="553" spans="1:27" ht="15" customHeight="1" x14ac:dyDescent="0.25">
      <c r="A553" s="85"/>
      <c r="B553" s="217" t="str">
        <f>IF(A553&lt;&gt;"",_xlfn.MAXIFS($B$1:B552,$A$1:A552,A553)+1,"")</f>
        <v/>
      </c>
      <c r="C553" s="50"/>
      <c r="D553" s="50"/>
      <c r="E553" s="50"/>
      <c r="F553" s="50"/>
      <c r="G553" s="280"/>
      <c r="H553" s="293"/>
      <c r="I553" s="292"/>
      <c r="J553" s="292"/>
      <c r="K553" s="200"/>
      <c r="L553" s="200"/>
      <c r="M553" s="89" t="str">
        <f>IFERROR(VLOOKUP(H553,Lijsten!$H$1:$I$100,2,0),"")</f>
        <v/>
      </c>
      <c r="N553" s="89" t="str" cm="1">
        <f t="array" ref="N553">IFERROR(_xlfn.IFS(AND(LEFT(F553,6)="Arbeid",RIGHT(F553,3)&lt;&gt;"IKS"),IFERROR(VLOOKUP($G553,Tb_KostenTypen[],2,0),"tarief"),RIGHT(F553,3)="IKS","Uurtarief",LEFT(F553,6)="Arbeid","Uurtarief",AND(LEFT(F553,8)="Bijdrage",RIGHT(F553,15)="(vrijwilligers)"),"Vast tarief"),"")</f>
        <v/>
      </c>
      <c r="O553" s="90"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0"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1"/>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59"/>
      <c r="Z553" s="49"/>
      <c r="AA553" s="37" t="str" cm="1">
        <f t="array" ref="AA553">IFERROR(IF(INDEX(SubsidieTabel!$Q$1:$T$9,MATCH($F553,SubsidieTabel!$Q$1:$Q$9,0),IFERROR(MATCH(Methode_Keuze,SubsidieTabel!$Q$1:$T$1,0),2))&lt;&gt;1=TRUE,"ja",""),"")</f>
        <v/>
      </c>
    </row>
    <row r="554" spans="1:27" ht="15" customHeight="1" x14ac:dyDescent="0.25">
      <c r="A554" s="85"/>
      <c r="B554" s="217" t="str">
        <f>IF(A554&lt;&gt;"",_xlfn.MAXIFS($B$1:B553,$A$1:A553,A554)+1,"")</f>
        <v/>
      </c>
      <c r="C554" s="50"/>
      <c r="D554" s="50"/>
      <c r="E554" s="50"/>
      <c r="F554" s="50"/>
      <c r="G554" s="280"/>
      <c r="H554" s="293"/>
      <c r="I554" s="292"/>
      <c r="J554" s="292"/>
      <c r="K554" s="200"/>
      <c r="L554" s="200"/>
      <c r="M554" s="89" t="str">
        <f>IFERROR(VLOOKUP(H554,Lijsten!$H$1:$I$100,2,0),"")</f>
        <v/>
      </c>
      <c r="N554" s="89" t="str" cm="1">
        <f t="array" ref="N554">IFERROR(_xlfn.IFS(AND(LEFT(F554,6)="Arbeid",RIGHT(F554,3)&lt;&gt;"IKS"),IFERROR(VLOOKUP($G554,Tb_KostenTypen[],2,0),"tarief"),RIGHT(F554,3)="IKS","Uurtarief",LEFT(F554,6)="Arbeid","Uurtarief",AND(LEFT(F554,8)="Bijdrage",RIGHT(F554,15)="(vrijwilligers)"),"Vast tarief"),"")</f>
        <v/>
      </c>
      <c r="O554" s="90"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0"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1"/>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59"/>
      <c r="Z554" s="49"/>
      <c r="AA554" s="37" t="str" cm="1">
        <f t="array" ref="AA554">IFERROR(IF(INDEX(SubsidieTabel!$Q$1:$T$9,MATCH($F554,SubsidieTabel!$Q$1:$Q$9,0),IFERROR(MATCH(Methode_Keuze,SubsidieTabel!$Q$1:$T$1,0),2))&lt;&gt;1=TRUE,"ja",""),"")</f>
        <v/>
      </c>
    </row>
    <row r="555" spans="1:27" ht="15" customHeight="1" x14ac:dyDescent="0.25">
      <c r="A555" s="85"/>
      <c r="B555" s="217" t="str">
        <f>IF(A555&lt;&gt;"",_xlfn.MAXIFS($B$1:B554,$A$1:A554,A555)+1,"")</f>
        <v/>
      </c>
      <c r="C555" s="50"/>
      <c r="D555" s="50"/>
      <c r="E555" s="50"/>
      <c r="F555" s="50"/>
      <c r="G555" s="280"/>
      <c r="H555" s="293"/>
      <c r="I555" s="292"/>
      <c r="J555" s="292"/>
      <c r="K555" s="200"/>
      <c r="L555" s="200"/>
      <c r="M555" s="89" t="str">
        <f>IFERROR(VLOOKUP(H555,Lijsten!$H$1:$I$100,2,0),"")</f>
        <v/>
      </c>
      <c r="N555" s="89" t="str" cm="1">
        <f t="array" ref="N555">IFERROR(_xlfn.IFS(AND(LEFT(F555,6)="Arbeid",RIGHT(F555,3)&lt;&gt;"IKS"),IFERROR(VLOOKUP($G555,Tb_KostenTypen[],2,0),"tarief"),RIGHT(F555,3)="IKS","Uurtarief",LEFT(F555,6)="Arbeid","Uurtarief",AND(LEFT(F555,8)="Bijdrage",RIGHT(F555,15)="(vrijwilligers)"),"Vast tarief"),"")</f>
        <v/>
      </c>
      <c r="O555" s="90"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0"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1"/>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59"/>
      <c r="Z555" s="49"/>
      <c r="AA555" s="37" t="str" cm="1">
        <f t="array" ref="AA555">IFERROR(IF(INDEX(SubsidieTabel!$Q$1:$T$9,MATCH($F555,SubsidieTabel!$Q$1:$Q$9,0),IFERROR(MATCH(Methode_Keuze,SubsidieTabel!$Q$1:$T$1,0),2))&lt;&gt;1=TRUE,"ja",""),"")</f>
        <v/>
      </c>
    </row>
    <row r="556" spans="1:27" ht="15" customHeight="1" x14ac:dyDescent="0.25">
      <c r="A556" s="85"/>
      <c r="B556" s="217" t="str">
        <f>IF(A556&lt;&gt;"",_xlfn.MAXIFS($B$1:B555,$A$1:A555,A556)+1,"")</f>
        <v/>
      </c>
      <c r="C556" s="50"/>
      <c r="D556" s="50"/>
      <c r="E556" s="50"/>
      <c r="F556" s="50"/>
      <c r="G556" s="280"/>
      <c r="H556" s="293"/>
      <c r="I556" s="292"/>
      <c r="J556" s="292"/>
      <c r="K556" s="200"/>
      <c r="L556" s="200"/>
      <c r="M556" s="89" t="str">
        <f>IFERROR(VLOOKUP(H556,Lijsten!$H$1:$I$100,2,0),"")</f>
        <v/>
      </c>
      <c r="N556" s="89" t="str" cm="1">
        <f t="array" ref="N556">IFERROR(_xlfn.IFS(AND(LEFT(F556,6)="Arbeid",RIGHT(F556,3)&lt;&gt;"IKS"),IFERROR(VLOOKUP($G556,Tb_KostenTypen[],2,0),"tarief"),RIGHT(F556,3)="IKS","Uurtarief",LEFT(F556,6)="Arbeid","Uurtarief",AND(LEFT(F556,8)="Bijdrage",RIGHT(F556,15)="(vrijwilligers)"),"Vast tarief"),"")</f>
        <v/>
      </c>
      <c r="O556" s="90"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0"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1"/>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59"/>
      <c r="Z556" s="49"/>
      <c r="AA556" s="37" t="str" cm="1">
        <f t="array" ref="AA556">IFERROR(IF(INDEX(SubsidieTabel!$Q$1:$T$9,MATCH($F556,SubsidieTabel!$Q$1:$Q$9,0),IFERROR(MATCH(Methode_Keuze,SubsidieTabel!$Q$1:$T$1,0),2))&lt;&gt;1=TRUE,"ja",""),"")</f>
        <v/>
      </c>
    </row>
    <row r="557" spans="1:27" ht="15" customHeight="1" x14ac:dyDescent="0.25">
      <c r="A557" s="85"/>
      <c r="B557" s="217" t="str">
        <f>IF(A557&lt;&gt;"",_xlfn.MAXIFS($B$1:B556,$A$1:A556,A557)+1,"")</f>
        <v/>
      </c>
      <c r="C557" s="50"/>
      <c r="D557" s="50"/>
      <c r="E557" s="50"/>
      <c r="F557" s="50"/>
      <c r="G557" s="280"/>
      <c r="H557" s="293"/>
      <c r="I557" s="292"/>
      <c r="J557" s="292"/>
      <c r="K557" s="200"/>
      <c r="L557" s="200"/>
      <c r="M557" s="89" t="str">
        <f>IFERROR(VLOOKUP(H557,Lijsten!$H$1:$I$100,2,0),"")</f>
        <v/>
      </c>
      <c r="N557" s="89" t="str" cm="1">
        <f t="array" ref="N557">IFERROR(_xlfn.IFS(AND(LEFT(F557,6)="Arbeid",RIGHT(F557,3)&lt;&gt;"IKS"),IFERROR(VLOOKUP($G557,Tb_KostenTypen[],2,0),"tarief"),RIGHT(F557,3)="IKS","Uurtarief",LEFT(F557,6)="Arbeid","Uurtarief",AND(LEFT(F557,8)="Bijdrage",RIGHT(F557,15)="(vrijwilligers)"),"Vast tarief"),"")</f>
        <v/>
      </c>
      <c r="O557" s="90"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0"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1"/>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59"/>
      <c r="Z557" s="49"/>
      <c r="AA557" s="37" t="str" cm="1">
        <f t="array" ref="AA557">IFERROR(IF(INDEX(SubsidieTabel!$Q$1:$T$9,MATCH($F557,SubsidieTabel!$Q$1:$Q$9,0),IFERROR(MATCH(Methode_Keuze,SubsidieTabel!$Q$1:$T$1,0),2))&lt;&gt;1=TRUE,"ja",""),"")</f>
        <v/>
      </c>
    </row>
    <row r="558" spans="1:27" ht="15" customHeight="1" x14ac:dyDescent="0.25">
      <c r="A558" s="85"/>
      <c r="B558" s="217" t="str">
        <f>IF(A558&lt;&gt;"",_xlfn.MAXIFS($B$1:B557,$A$1:A557,A558)+1,"")</f>
        <v/>
      </c>
      <c r="C558" s="50"/>
      <c r="D558" s="50"/>
      <c r="E558" s="50"/>
      <c r="F558" s="50"/>
      <c r="G558" s="280"/>
      <c r="H558" s="293"/>
      <c r="I558" s="292"/>
      <c r="J558" s="292"/>
      <c r="K558" s="200"/>
      <c r="L558" s="200"/>
      <c r="M558" s="89" t="str">
        <f>IFERROR(VLOOKUP(H558,Lijsten!$H$1:$I$100,2,0),"")</f>
        <v/>
      </c>
      <c r="N558" s="89" t="str" cm="1">
        <f t="array" ref="N558">IFERROR(_xlfn.IFS(AND(LEFT(F558,6)="Arbeid",RIGHT(F558,3)&lt;&gt;"IKS"),IFERROR(VLOOKUP($G558,Tb_KostenTypen[],2,0),"tarief"),RIGHT(F558,3)="IKS","Uurtarief",LEFT(F558,6)="Arbeid","Uurtarief",AND(LEFT(F558,8)="Bijdrage",RIGHT(F558,15)="(vrijwilligers)"),"Vast tarief"),"")</f>
        <v/>
      </c>
      <c r="O558" s="90"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0"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1"/>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59"/>
      <c r="Z558" s="49"/>
      <c r="AA558" s="37" t="str" cm="1">
        <f t="array" ref="AA558">IFERROR(IF(INDEX(SubsidieTabel!$Q$1:$T$9,MATCH($F558,SubsidieTabel!$Q$1:$Q$9,0),IFERROR(MATCH(Methode_Keuze,SubsidieTabel!$Q$1:$T$1,0),2))&lt;&gt;1=TRUE,"ja",""),"")</f>
        <v/>
      </c>
    </row>
    <row r="559" spans="1:27" ht="15" customHeight="1" x14ac:dyDescent="0.25">
      <c r="A559" s="85"/>
      <c r="B559" s="217" t="str">
        <f>IF(A559&lt;&gt;"",_xlfn.MAXIFS($B$1:B558,$A$1:A558,A559)+1,"")</f>
        <v/>
      </c>
      <c r="C559" s="50"/>
      <c r="D559" s="50"/>
      <c r="E559" s="50"/>
      <c r="F559" s="50"/>
      <c r="G559" s="280"/>
      <c r="H559" s="293"/>
      <c r="I559" s="292"/>
      <c r="J559" s="292"/>
      <c r="K559" s="200"/>
      <c r="L559" s="200"/>
      <c r="M559" s="89" t="str">
        <f>IFERROR(VLOOKUP(H559,Lijsten!$H$1:$I$100,2,0),"")</f>
        <v/>
      </c>
      <c r="N559" s="89" t="str" cm="1">
        <f t="array" ref="N559">IFERROR(_xlfn.IFS(AND(LEFT(F559,6)="Arbeid",RIGHT(F559,3)&lt;&gt;"IKS"),IFERROR(VLOOKUP($G559,Tb_KostenTypen[],2,0),"tarief"),RIGHT(F559,3)="IKS","Uurtarief",LEFT(F559,6)="Arbeid","Uurtarief",AND(LEFT(F559,8)="Bijdrage",RIGHT(F559,15)="(vrijwilligers)"),"Vast tarief"),"")</f>
        <v/>
      </c>
      <c r="O559" s="90"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0"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1"/>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59"/>
      <c r="Z559" s="49"/>
      <c r="AA559" s="37" t="str" cm="1">
        <f t="array" ref="AA559">IFERROR(IF(INDEX(SubsidieTabel!$Q$1:$T$9,MATCH($F559,SubsidieTabel!$Q$1:$Q$9,0),IFERROR(MATCH(Methode_Keuze,SubsidieTabel!$Q$1:$T$1,0),2))&lt;&gt;1=TRUE,"ja",""),"")</f>
        <v/>
      </c>
    </row>
    <row r="560" spans="1:27" ht="15" customHeight="1" x14ac:dyDescent="0.25">
      <c r="A560" s="85"/>
      <c r="B560" s="217" t="str">
        <f>IF(A560&lt;&gt;"",_xlfn.MAXIFS($B$1:B559,$A$1:A559,A560)+1,"")</f>
        <v/>
      </c>
      <c r="C560" s="50"/>
      <c r="D560" s="50"/>
      <c r="E560" s="50"/>
      <c r="F560" s="50"/>
      <c r="G560" s="280"/>
      <c r="H560" s="293"/>
      <c r="I560" s="292"/>
      <c r="J560" s="292"/>
      <c r="K560" s="200"/>
      <c r="L560" s="200"/>
      <c r="M560" s="89" t="str">
        <f>IFERROR(VLOOKUP(H560,Lijsten!$H$1:$I$100,2,0),"")</f>
        <v/>
      </c>
      <c r="N560" s="89" t="str" cm="1">
        <f t="array" ref="N560">IFERROR(_xlfn.IFS(AND(LEFT(F560,6)="Arbeid",RIGHT(F560,3)&lt;&gt;"IKS"),IFERROR(VLOOKUP($G560,Tb_KostenTypen[],2,0),"tarief"),RIGHT(F560,3)="IKS","Uurtarief",LEFT(F560,6)="Arbeid","Uurtarief",AND(LEFT(F560,8)="Bijdrage",RIGHT(F560,15)="(vrijwilligers)"),"Vast tarief"),"")</f>
        <v/>
      </c>
      <c r="O560" s="90"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0"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1"/>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59"/>
      <c r="Z560" s="49"/>
      <c r="AA560" s="37" t="str" cm="1">
        <f t="array" ref="AA560">IFERROR(IF(INDEX(SubsidieTabel!$Q$1:$T$9,MATCH($F560,SubsidieTabel!$Q$1:$Q$9,0),IFERROR(MATCH(Methode_Keuze,SubsidieTabel!$Q$1:$T$1,0),2))&lt;&gt;1=TRUE,"ja",""),"")</f>
        <v/>
      </c>
    </row>
    <row r="561" spans="1:27" ht="15" customHeight="1" x14ac:dyDescent="0.25">
      <c r="A561" s="85"/>
      <c r="B561" s="217" t="str">
        <f>IF(A561&lt;&gt;"",_xlfn.MAXIFS($B$1:B560,$A$1:A560,A561)+1,"")</f>
        <v/>
      </c>
      <c r="C561" s="50"/>
      <c r="D561" s="50"/>
      <c r="E561" s="50"/>
      <c r="F561" s="50"/>
      <c r="G561" s="280"/>
      <c r="H561" s="293"/>
      <c r="I561" s="292"/>
      <c r="J561" s="292"/>
      <c r="K561" s="200"/>
      <c r="L561" s="200"/>
      <c r="M561" s="89" t="str">
        <f>IFERROR(VLOOKUP(H561,Lijsten!$H$1:$I$100,2,0),"")</f>
        <v/>
      </c>
      <c r="N561" s="89" t="str" cm="1">
        <f t="array" ref="N561">IFERROR(_xlfn.IFS(AND(LEFT(F561,6)="Arbeid",RIGHT(F561,3)&lt;&gt;"IKS"),IFERROR(VLOOKUP($G561,Tb_KostenTypen[],2,0),"tarief"),RIGHT(F561,3)="IKS","Uurtarief",LEFT(F561,6)="Arbeid","Uurtarief",AND(LEFT(F561,8)="Bijdrage",RIGHT(F561,15)="(vrijwilligers)"),"Vast tarief"),"")</f>
        <v/>
      </c>
      <c r="O561" s="90"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0"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1"/>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59"/>
      <c r="Z561" s="49"/>
      <c r="AA561" s="37" t="str" cm="1">
        <f t="array" ref="AA561">IFERROR(IF(INDEX(SubsidieTabel!$Q$1:$T$9,MATCH($F561,SubsidieTabel!$Q$1:$Q$9,0),IFERROR(MATCH(Methode_Keuze,SubsidieTabel!$Q$1:$T$1,0),2))&lt;&gt;1=TRUE,"ja",""),"")</f>
        <v/>
      </c>
    </row>
    <row r="562" spans="1:27" ht="15" customHeight="1" x14ac:dyDescent="0.25">
      <c r="A562" s="85"/>
      <c r="B562" s="217" t="str">
        <f>IF(A562&lt;&gt;"",_xlfn.MAXIFS($B$1:B561,$A$1:A561,A562)+1,"")</f>
        <v/>
      </c>
      <c r="C562" s="50"/>
      <c r="D562" s="50"/>
      <c r="E562" s="50"/>
      <c r="F562" s="50"/>
      <c r="G562" s="280"/>
      <c r="H562" s="293"/>
      <c r="I562" s="292"/>
      <c r="J562" s="292"/>
      <c r="K562" s="200"/>
      <c r="L562" s="200"/>
      <c r="M562" s="89" t="str">
        <f>IFERROR(VLOOKUP(H562,Lijsten!$H$1:$I$100,2,0),"")</f>
        <v/>
      </c>
      <c r="N562" s="89" t="str" cm="1">
        <f t="array" ref="N562">IFERROR(_xlfn.IFS(AND(LEFT(F562,6)="Arbeid",RIGHT(F562,3)&lt;&gt;"IKS"),IFERROR(VLOOKUP($G562,Tb_KostenTypen[],2,0),"tarief"),RIGHT(F562,3)="IKS","Uurtarief",LEFT(F562,6)="Arbeid","Uurtarief",AND(LEFT(F562,8)="Bijdrage",RIGHT(F562,15)="(vrijwilligers)"),"Vast tarief"),"")</f>
        <v/>
      </c>
      <c r="O562" s="90"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0"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1"/>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59"/>
      <c r="Z562" s="49"/>
      <c r="AA562" s="37" t="str" cm="1">
        <f t="array" ref="AA562">IFERROR(IF(INDEX(SubsidieTabel!$Q$1:$T$9,MATCH($F562,SubsidieTabel!$Q$1:$Q$9,0),IFERROR(MATCH(Methode_Keuze,SubsidieTabel!$Q$1:$T$1,0),2))&lt;&gt;1=TRUE,"ja",""),"")</f>
        <v/>
      </c>
    </row>
    <row r="563" spans="1:27" ht="15" customHeight="1" x14ac:dyDescent="0.25">
      <c r="A563" s="85"/>
      <c r="B563" s="217" t="str">
        <f>IF(A563&lt;&gt;"",_xlfn.MAXIFS($B$1:B562,$A$1:A562,A563)+1,"")</f>
        <v/>
      </c>
      <c r="C563" s="50"/>
      <c r="D563" s="50"/>
      <c r="E563" s="50"/>
      <c r="F563" s="50"/>
      <c r="G563" s="280"/>
      <c r="H563" s="293"/>
      <c r="I563" s="292"/>
      <c r="J563" s="292"/>
      <c r="K563" s="200"/>
      <c r="L563" s="200"/>
      <c r="M563" s="89" t="str">
        <f>IFERROR(VLOOKUP(H563,Lijsten!$H$1:$I$100,2,0),"")</f>
        <v/>
      </c>
      <c r="N563" s="89" t="str" cm="1">
        <f t="array" ref="N563">IFERROR(_xlfn.IFS(AND(LEFT(F563,6)="Arbeid",RIGHT(F563,3)&lt;&gt;"IKS"),IFERROR(VLOOKUP($G563,Tb_KostenTypen[],2,0),"tarief"),RIGHT(F563,3)="IKS","Uurtarief",LEFT(F563,6)="Arbeid","Uurtarief",AND(LEFT(F563,8)="Bijdrage",RIGHT(F563,15)="(vrijwilligers)"),"Vast tarief"),"")</f>
        <v/>
      </c>
      <c r="O563" s="90"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0"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1"/>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59"/>
      <c r="Z563" s="49"/>
      <c r="AA563" s="37" t="str" cm="1">
        <f t="array" ref="AA563">IFERROR(IF(INDEX(SubsidieTabel!$Q$1:$T$9,MATCH($F563,SubsidieTabel!$Q$1:$Q$9,0),IFERROR(MATCH(Methode_Keuze,SubsidieTabel!$Q$1:$T$1,0),2))&lt;&gt;1=TRUE,"ja",""),"")</f>
        <v/>
      </c>
    </row>
    <row r="564" spans="1:27" ht="15" customHeight="1" x14ac:dyDescent="0.25">
      <c r="A564" s="85"/>
      <c r="B564" s="217" t="str">
        <f>IF(A564&lt;&gt;"",_xlfn.MAXIFS($B$1:B563,$A$1:A563,A564)+1,"")</f>
        <v/>
      </c>
      <c r="C564" s="50"/>
      <c r="D564" s="50"/>
      <c r="E564" s="50"/>
      <c r="F564" s="50"/>
      <c r="G564" s="280"/>
      <c r="H564" s="293"/>
      <c r="I564" s="292"/>
      <c r="J564" s="292"/>
      <c r="K564" s="200"/>
      <c r="L564" s="200"/>
      <c r="M564" s="89" t="str">
        <f>IFERROR(VLOOKUP(H564,Lijsten!$H$1:$I$100,2,0),"")</f>
        <v/>
      </c>
      <c r="N564" s="89" t="str" cm="1">
        <f t="array" ref="N564">IFERROR(_xlfn.IFS(AND(LEFT(F564,6)="Arbeid",RIGHT(F564,3)&lt;&gt;"IKS"),IFERROR(VLOOKUP($G564,Tb_KostenTypen[],2,0),"tarief"),RIGHT(F564,3)="IKS","Uurtarief",LEFT(F564,6)="Arbeid","Uurtarief",AND(LEFT(F564,8)="Bijdrage",RIGHT(F564,15)="(vrijwilligers)"),"Vast tarief"),"")</f>
        <v/>
      </c>
      <c r="O564" s="90"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0"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1"/>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59"/>
      <c r="Z564" s="49"/>
      <c r="AA564" s="37" t="str" cm="1">
        <f t="array" ref="AA564">IFERROR(IF(INDEX(SubsidieTabel!$Q$1:$T$9,MATCH($F564,SubsidieTabel!$Q$1:$Q$9,0),IFERROR(MATCH(Methode_Keuze,SubsidieTabel!$Q$1:$T$1,0),2))&lt;&gt;1=TRUE,"ja",""),"")</f>
        <v/>
      </c>
    </row>
    <row r="565" spans="1:27" ht="15" customHeight="1" x14ac:dyDescent="0.25">
      <c r="A565" s="85"/>
      <c r="B565" s="217" t="str">
        <f>IF(A565&lt;&gt;"",_xlfn.MAXIFS($B$1:B564,$A$1:A564,A565)+1,"")</f>
        <v/>
      </c>
      <c r="C565" s="50"/>
      <c r="D565" s="50"/>
      <c r="E565" s="50"/>
      <c r="F565" s="50"/>
      <c r="G565" s="280"/>
      <c r="H565" s="293"/>
      <c r="I565" s="292"/>
      <c r="J565" s="292"/>
      <c r="K565" s="200"/>
      <c r="L565" s="200"/>
      <c r="M565" s="89" t="str">
        <f>IFERROR(VLOOKUP(H565,Lijsten!$H$1:$I$100,2,0),"")</f>
        <v/>
      </c>
      <c r="N565" s="89" t="str" cm="1">
        <f t="array" ref="N565">IFERROR(_xlfn.IFS(AND(LEFT(F565,6)="Arbeid",RIGHT(F565,3)&lt;&gt;"IKS"),IFERROR(VLOOKUP($G565,Tb_KostenTypen[],2,0),"tarief"),RIGHT(F565,3)="IKS","Uurtarief",LEFT(F565,6)="Arbeid","Uurtarief",AND(LEFT(F565,8)="Bijdrage",RIGHT(F565,15)="(vrijwilligers)"),"Vast tarief"),"")</f>
        <v/>
      </c>
      <c r="O565" s="90"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0"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1"/>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59"/>
      <c r="Z565" s="49"/>
      <c r="AA565" s="37" t="str" cm="1">
        <f t="array" ref="AA565">IFERROR(IF(INDEX(SubsidieTabel!$Q$1:$T$9,MATCH($F565,SubsidieTabel!$Q$1:$Q$9,0),IFERROR(MATCH(Methode_Keuze,SubsidieTabel!$Q$1:$T$1,0),2))&lt;&gt;1=TRUE,"ja",""),"")</f>
        <v/>
      </c>
    </row>
    <row r="566" spans="1:27" ht="15" customHeight="1" x14ac:dyDescent="0.25">
      <c r="A566" s="85"/>
      <c r="B566" s="217" t="str">
        <f>IF(A566&lt;&gt;"",_xlfn.MAXIFS($B$1:B565,$A$1:A565,A566)+1,"")</f>
        <v/>
      </c>
      <c r="C566" s="50"/>
      <c r="D566" s="50"/>
      <c r="E566" s="50"/>
      <c r="F566" s="50"/>
      <c r="G566" s="280"/>
      <c r="H566" s="293"/>
      <c r="I566" s="292"/>
      <c r="J566" s="292"/>
      <c r="K566" s="200"/>
      <c r="L566" s="200"/>
      <c r="M566" s="89" t="str">
        <f>IFERROR(VLOOKUP(H566,Lijsten!$H$1:$I$100,2,0),"")</f>
        <v/>
      </c>
      <c r="N566" s="89" t="str" cm="1">
        <f t="array" ref="N566">IFERROR(_xlfn.IFS(AND(LEFT(F566,6)="Arbeid",RIGHT(F566,3)&lt;&gt;"IKS"),IFERROR(VLOOKUP($G566,Tb_KostenTypen[],2,0),"tarief"),RIGHT(F566,3)="IKS","Uurtarief",LEFT(F566,6)="Arbeid","Uurtarief",AND(LEFT(F566,8)="Bijdrage",RIGHT(F566,15)="(vrijwilligers)"),"Vast tarief"),"")</f>
        <v/>
      </c>
      <c r="O566" s="90"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0"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1"/>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59"/>
      <c r="Z566" s="49"/>
      <c r="AA566" s="37" t="str" cm="1">
        <f t="array" ref="AA566">IFERROR(IF(INDEX(SubsidieTabel!$Q$1:$T$9,MATCH($F566,SubsidieTabel!$Q$1:$Q$9,0),IFERROR(MATCH(Methode_Keuze,SubsidieTabel!$Q$1:$T$1,0),2))&lt;&gt;1=TRUE,"ja",""),"")</f>
        <v/>
      </c>
    </row>
    <row r="567" spans="1:27" ht="15" customHeight="1" x14ac:dyDescent="0.25">
      <c r="A567" s="85"/>
      <c r="B567" s="217" t="str">
        <f>IF(A567&lt;&gt;"",_xlfn.MAXIFS($B$1:B566,$A$1:A566,A567)+1,"")</f>
        <v/>
      </c>
      <c r="C567" s="50"/>
      <c r="D567" s="50"/>
      <c r="E567" s="50"/>
      <c r="F567" s="50"/>
      <c r="G567" s="280"/>
      <c r="H567" s="293"/>
      <c r="I567" s="292"/>
      <c r="J567" s="292"/>
      <c r="K567" s="200"/>
      <c r="L567" s="200"/>
      <c r="M567" s="89" t="str">
        <f>IFERROR(VLOOKUP(H567,Lijsten!$H$1:$I$100,2,0),"")</f>
        <v/>
      </c>
      <c r="N567" s="89" t="str" cm="1">
        <f t="array" ref="N567">IFERROR(_xlfn.IFS(AND(LEFT(F567,6)="Arbeid",RIGHT(F567,3)&lt;&gt;"IKS"),IFERROR(VLOOKUP($G567,Tb_KostenTypen[],2,0),"tarief"),RIGHT(F567,3)="IKS","Uurtarief",LEFT(F567,6)="Arbeid","Uurtarief",AND(LEFT(F567,8)="Bijdrage",RIGHT(F567,15)="(vrijwilligers)"),"Vast tarief"),"")</f>
        <v/>
      </c>
      <c r="O567" s="90"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0"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1"/>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59"/>
      <c r="Z567" s="49"/>
      <c r="AA567" s="37" t="str" cm="1">
        <f t="array" ref="AA567">IFERROR(IF(INDEX(SubsidieTabel!$Q$1:$T$9,MATCH($F567,SubsidieTabel!$Q$1:$Q$9,0),IFERROR(MATCH(Methode_Keuze,SubsidieTabel!$Q$1:$T$1,0),2))&lt;&gt;1=TRUE,"ja",""),"")</f>
        <v/>
      </c>
    </row>
    <row r="568" spans="1:27" ht="15" customHeight="1" x14ac:dyDescent="0.25">
      <c r="A568" s="85"/>
      <c r="B568" s="217" t="str">
        <f>IF(A568&lt;&gt;"",_xlfn.MAXIFS($B$1:B567,$A$1:A567,A568)+1,"")</f>
        <v/>
      </c>
      <c r="C568" s="50"/>
      <c r="D568" s="50"/>
      <c r="E568" s="50"/>
      <c r="F568" s="50"/>
      <c r="G568" s="280"/>
      <c r="H568" s="293"/>
      <c r="I568" s="292"/>
      <c r="J568" s="292"/>
      <c r="K568" s="200"/>
      <c r="L568" s="200"/>
      <c r="M568" s="89" t="str">
        <f>IFERROR(VLOOKUP(H568,Lijsten!$H$1:$I$100,2,0),"")</f>
        <v/>
      </c>
      <c r="N568" s="89" t="str" cm="1">
        <f t="array" ref="N568">IFERROR(_xlfn.IFS(AND(LEFT(F568,6)="Arbeid",RIGHT(F568,3)&lt;&gt;"IKS"),IFERROR(VLOOKUP($G568,Tb_KostenTypen[],2,0),"tarief"),RIGHT(F568,3)="IKS","Uurtarief",LEFT(F568,6)="Arbeid","Uurtarief",AND(LEFT(F568,8)="Bijdrage",RIGHT(F568,15)="(vrijwilligers)"),"Vast tarief"),"")</f>
        <v/>
      </c>
      <c r="O568" s="90"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0"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1"/>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59"/>
      <c r="Z568" s="49"/>
      <c r="AA568" s="37" t="str" cm="1">
        <f t="array" ref="AA568">IFERROR(IF(INDEX(SubsidieTabel!$Q$1:$T$9,MATCH($F568,SubsidieTabel!$Q$1:$Q$9,0),IFERROR(MATCH(Methode_Keuze,SubsidieTabel!$Q$1:$T$1,0),2))&lt;&gt;1=TRUE,"ja",""),"")</f>
        <v/>
      </c>
    </row>
    <row r="569" spans="1:27" ht="15" customHeight="1" x14ac:dyDescent="0.25">
      <c r="A569" s="85"/>
      <c r="B569" s="217" t="str">
        <f>IF(A569&lt;&gt;"",_xlfn.MAXIFS($B$1:B568,$A$1:A568,A569)+1,"")</f>
        <v/>
      </c>
      <c r="C569" s="50"/>
      <c r="D569" s="50"/>
      <c r="E569" s="50"/>
      <c r="F569" s="50"/>
      <c r="G569" s="280"/>
      <c r="H569" s="293"/>
      <c r="I569" s="292"/>
      <c r="J569" s="292"/>
      <c r="K569" s="200"/>
      <c r="L569" s="200"/>
      <c r="M569" s="89" t="str">
        <f>IFERROR(VLOOKUP(H569,Lijsten!$H$1:$I$100,2,0),"")</f>
        <v/>
      </c>
      <c r="N569" s="89" t="str" cm="1">
        <f t="array" ref="N569">IFERROR(_xlfn.IFS(AND(LEFT(F569,6)="Arbeid",RIGHT(F569,3)&lt;&gt;"IKS"),IFERROR(VLOOKUP($G569,Tb_KostenTypen[],2,0),"tarief"),RIGHT(F569,3)="IKS","Uurtarief",LEFT(F569,6)="Arbeid","Uurtarief",AND(LEFT(F569,8)="Bijdrage",RIGHT(F569,15)="(vrijwilligers)"),"Vast tarief"),"")</f>
        <v/>
      </c>
      <c r="O569" s="90"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0"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1"/>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59"/>
      <c r="Z569" s="49"/>
      <c r="AA569" s="37" t="str" cm="1">
        <f t="array" ref="AA569">IFERROR(IF(INDEX(SubsidieTabel!$Q$1:$T$9,MATCH($F569,SubsidieTabel!$Q$1:$Q$9,0),IFERROR(MATCH(Methode_Keuze,SubsidieTabel!$Q$1:$T$1,0),2))&lt;&gt;1=TRUE,"ja",""),"")</f>
        <v/>
      </c>
    </row>
    <row r="570" spans="1:27" ht="15" customHeight="1" x14ac:dyDescent="0.25">
      <c r="A570" s="85"/>
      <c r="B570" s="217" t="str">
        <f>IF(A570&lt;&gt;"",_xlfn.MAXIFS($B$1:B569,$A$1:A569,A570)+1,"")</f>
        <v/>
      </c>
      <c r="C570" s="50"/>
      <c r="D570" s="50"/>
      <c r="E570" s="50"/>
      <c r="F570" s="50"/>
      <c r="G570" s="280"/>
      <c r="H570" s="293"/>
      <c r="I570" s="292"/>
      <c r="J570" s="292"/>
      <c r="K570" s="200"/>
      <c r="L570" s="200"/>
      <c r="M570" s="89" t="str">
        <f>IFERROR(VLOOKUP(H570,Lijsten!$H$1:$I$100,2,0),"")</f>
        <v/>
      </c>
      <c r="N570" s="89" t="str" cm="1">
        <f t="array" ref="N570">IFERROR(_xlfn.IFS(AND(LEFT(F570,6)="Arbeid",RIGHT(F570,3)&lt;&gt;"IKS"),IFERROR(VLOOKUP($G570,Tb_KostenTypen[],2,0),"tarief"),RIGHT(F570,3)="IKS","Uurtarief",LEFT(F570,6)="Arbeid","Uurtarief",AND(LEFT(F570,8)="Bijdrage",RIGHT(F570,15)="(vrijwilligers)"),"Vast tarief"),"")</f>
        <v/>
      </c>
      <c r="O570" s="90"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0"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1"/>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59"/>
      <c r="Z570" s="49"/>
      <c r="AA570" s="37" t="str" cm="1">
        <f t="array" ref="AA570">IFERROR(IF(INDEX(SubsidieTabel!$Q$1:$T$9,MATCH($F570,SubsidieTabel!$Q$1:$Q$9,0),IFERROR(MATCH(Methode_Keuze,SubsidieTabel!$Q$1:$T$1,0),2))&lt;&gt;1=TRUE,"ja",""),"")</f>
        <v/>
      </c>
    </row>
    <row r="571" spans="1:27" ht="15" customHeight="1" x14ac:dyDescent="0.25">
      <c r="A571" s="85"/>
      <c r="B571" s="217" t="str">
        <f>IF(A571&lt;&gt;"",_xlfn.MAXIFS($B$1:B570,$A$1:A570,A571)+1,"")</f>
        <v/>
      </c>
      <c r="C571" s="50"/>
      <c r="D571" s="50"/>
      <c r="E571" s="50"/>
      <c r="F571" s="50"/>
      <c r="G571" s="280"/>
      <c r="H571" s="293"/>
      <c r="I571" s="292"/>
      <c r="J571" s="292"/>
      <c r="K571" s="200"/>
      <c r="L571" s="200"/>
      <c r="M571" s="89" t="str">
        <f>IFERROR(VLOOKUP(H571,Lijsten!$H$1:$I$100,2,0),"")</f>
        <v/>
      </c>
      <c r="N571" s="89" t="str" cm="1">
        <f t="array" ref="N571">IFERROR(_xlfn.IFS(AND(LEFT(F571,6)="Arbeid",RIGHT(F571,3)&lt;&gt;"IKS"),IFERROR(VLOOKUP($G571,Tb_KostenTypen[],2,0),"tarief"),RIGHT(F571,3)="IKS","Uurtarief",LEFT(F571,6)="Arbeid","Uurtarief",AND(LEFT(F571,8)="Bijdrage",RIGHT(F571,15)="(vrijwilligers)"),"Vast tarief"),"")</f>
        <v/>
      </c>
      <c r="O571" s="90"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0"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1"/>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59"/>
      <c r="Z571" s="49"/>
      <c r="AA571" s="37" t="str" cm="1">
        <f t="array" ref="AA571">IFERROR(IF(INDEX(SubsidieTabel!$Q$1:$T$9,MATCH($F571,SubsidieTabel!$Q$1:$Q$9,0),IFERROR(MATCH(Methode_Keuze,SubsidieTabel!$Q$1:$T$1,0),2))&lt;&gt;1=TRUE,"ja",""),"")</f>
        <v/>
      </c>
    </row>
    <row r="572" spans="1:27" ht="15" customHeight="1" x14ac:dyDescent="0.25">
      <c r="A572" s="85"/>
      <c r="B572" s="217" t="str">
        <f>IF(A572&lt;&gt;"",_xlfn.MAXIFS($B$1:B571,$A$1:A571,A572)+1,"")</f>
        <v/>
      </c>
      <c r="C572" s="50"/>
      <c r="D572" s="50"/>
      <c r="E572" s="50"/>
      <c r="F572" s="50"/>
      <c r="G572" s="280"/>
      <c r="H572" s="293"/>
      <c r="I572" s="292"/>
      <c r="J572" s="292"/>
      <c r="K572" s="200"/>
      <c r="L572" s="200"/>
      <c r="M572" s="89" t="str">
        <f>IFERROR(VLOOKUP(H572,Lijsten!$H$1:$I$100,2,0),"")</f>
        <v/>
      </c>
      <c r="N572" s="89" t="str" cm="1">
        <f t="array" ref="N572">IFERROR(_xlfn.IFS(AND(LEFT(F572,6)="Arbeid",RIGHT(F572,3)&lt;&gt;"IKS"),IFERROR(VLOOKUP($G572,Tb_KostenTypen[],2,0),"tarief"),RIGHT(F572,3)="IKS","Uurtarief",LEFT(F572,6)="Arbeid","Uurtarief",AND(LEFT(F572,8)="Bijdrage",RIGHT(F572,15)="(vrijwilligers)"),"Vast tarief"),"")</f>
        <v/>
      </c>
      <c r="O572" s="90"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0"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1"/>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59"/>
      <c r="Z572" s="49"/>
      <c r="AA572" s="37" t="str" cm="1">
        <f t="array" ref="AA572">IFERROR(IF(INDEX(SubsidieTabel!$Q$1:$T$9,MATCH($F572,SubsidieTabel!$Q$1:$Q$9,0),IFERROR(MATCH(Methode_Keuze,SubsidieTabel!$Q$1:$T$1,0),2))&lt;&gt;1=TRUE,"ja",""),"")</f>
        <v/>
      </c>
    </row>
    <row r="573" spans="1:27" ht="15" customHeight="1" x14ac:dyDescent="0.25">
      <c r="A573" s="85"/>
      <c r="B573" s="217" t="str">
        <f>IF(A573&lt;&gt;"",_xlfn.MAXIFS($B$1:B572,$A$1:A572,A573)+1,"")</f>
        <v/>
      </c>
      <c r="C573" s="50"/>
      <c r="D573" s="50"/>
      <c r="E573" s="50"/>
      <c r="F573" s="50"/>
      <c r="G573" s="280"/>
      <c r="H573" s="293"/>
      <c r="I573" s="292"/>
      <c r="J573" s="292"/>
      <c r="K573" s="200"/>
      <c r="L573" s="200"/>
      <c r="M573" s="89" t="str">
        <f>IFERROR(VLOOKUP(H573,Lijsten!$H$1:$I$100,2,0),"")</f>
        <v/>
      </c>
      <c r="N573" s="89" t="str" cm="1">
        <f t="array" ref="N573">IFERROR(_xlfn.IFS(AND(LEFT(F573,6)="Arbeid",RIGHT(F573,3)&lt;&gt;"IKS"),IFERROR(VLOOKUP($G573,Tb_KostenTypen[],2,0),"tarief"),RIGHT(F573,3)="IKS","Uurtarief",LEFT(F573,6)="Arbeid","Uurtarief",AND(LEFT(F573,8)="Bijdrage",RIGHT(F573,15)="(vrijwilligers)"),"Vast tarief"),"")</f>
        <v/>
      </c>
      <c r="O573" s="90"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0"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1"/>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59"/>
      <c r="Z573" s="49"/>
      <c r="AA573" s="37" t="str" cm="1">
        <f t="array" ref="AA573">IFERROR(IF(INDEX(SubsidieTabel!$Q$1:$T$9,MATCH($F573,SubsidieTabel!$Q$1:$Q$9,0),IFERROR(MATCH(Methode_Keuze,SubsidieTabel!$Q$1:$T$1,0),2))&lt;&gt;1=TRUE,"ja",""),"")</f>
        <v/>
      </c>
    </row>
    <row r="574" spans="1:27" ht="15" customHeight="1" x14ac:dyDescent="0.25">
      <c r="A574" s="85"/>
      <c r="B574" s="217" t="str">
        <f>IF(A574&lt;&gt;"",_xlfn.MAXIFS($B$1:B573,$A$1:A573,A574)+1,"")</f>
        <v/>
      </c>
      <c r="C574" s="50"/>
      <c r="D574" s="50"/>
      <c r="E574" s="50"/>
      <c r="F574" s="50"/>
      <c r="G574" s="280"/>
      <c r="H574" s="293"/>
      <c r="I574" s="292"/>
      <c r="J574" s="292"/>
      <c r="K574" s="200"/>
      <c r="L574" s="200"/>
      <c r="M574" s="89" t="str">
        <f>IFERROR(VLOOKUP(H574,Lijsten!$H$1:$I$100,2,0),"")</f>
        <v/>
      </c>
      <c r="N574" s="89" t="str" cm="1">
        <f t="array" ref="N574">IFERROR(_xlfn.IFS(AND(LEFT(F574,6)="Arbeid",RIGHT(F574,3)&lt;&gt;"IKS"),IFERROR(VLOOKUP($G574,Tb_KostenTypen[],2,0),"tarief"),RIGHT(F574,3)="IKS","Uurtarief",LEFT(F574,6)="Arbeid","Uurtarief",AND(LEFT(F574,8)="Bijdrage",RIGHT(F574,15)="(vrijwilligers)"),"Vast tarief"),"")</f>
        <v/>
      </c>
      <c r="O574" s="90"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0"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1"/>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59"/>
      <c r="Z574" s="49"/>
      <c r="AA574" s="37" t="str" cm="1">
        <f t="array" ref="AA574">IFERROR(IF(INDEX(SubsidieTabel!$Q$1:$T$9,MATCH($F574,SubsidieTabel!$Q$1:$Q$9,0),IFERROR(MATCH(Methode_Keuze,SubsidieTabel!$Q$1:$T$1,0),2))&lt;&gt;1=TRUE,"ja",""),"")</f>
        <v/>
      </c>
    </row>
    <row r="575" spans="1:27" ht="15" customHeight="1" x14ac:dyDescent="0.25">
      <c r="A575" s="85"/>
      <c r="B575" s="217" t="str">
        <f>IF(A575&lt;&gt;"",_xlfn.MAXIFS($B$1:B574,$A$1:A574,A575)+1,"")</f>
        <v/>
      </c>
      <c r="C575" s="50"/>
      <c r="D575" s="50"/>
      <c r="E575" s="50"/>
      <c r="F575" s="50"/>
      <c r="G575" s="280"/>
      <c r="H575" s="293"/>
      <c r="I575" s="292"/>
      <c r="J575" s="292"/>
      <c r="K575" s="200"/>
      <c r="L575" s="200"/>
      <c r="M575" s="89" t="str">
        <f>IFERROR(VLOOKUP(H575,Lijsten!$H$1:$I$100,2,0),"")</f>
        <v/>
      </c>
      <c r="N575" s="89" t="str" cm="1">
        <f t="array" ref="N575">IFERROR(_xlfn.IFS(AND(LEFT(F575,6)="Arbeid",RIGHT(F575,3)&lt;&gt;"IKS"),IFERROR(VLOOKUP($G575,Tb_KostenTypen[],2,0),"tarief"),RIGHT(F575,3)="IKS","Uurtarief",LEFT(F575,6)="Arbeid","Uurtarief",AND(LEFT(F575,8)="Bijdrage",RIGHT(F575,15)="(vrijwilligers)"),"Vast tarief"),"")</f>
        <v/>
      </c>
      <c r="O575" s="90"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0"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1"/>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59"/>
      <c r="Z575" s="49"/>
      <c r="AA575" s="37" t="str" cm="1">
        <f t="array" ref="AA575">IFERROR(IF(INDEX(SubsidieTabel!$Q$1:$T$9,MATCH($F575,SubsidieTabel!$Q$1:$Q$9,0),IFERROR(MATCH(Methode_Keuze,SubsidieTabel!$Q$1:$T$1,0),2))&lt;&gt;1=TRUE,"ja",""),"")</f>
        <v/>
      </c>
    </row>
    <row r="576" spans="1:27" ht="15" customHeight="1" x14ac:dyDescent="0.25">
      <c r="A576" s="85"/>
      <c r="B576" s="217" t="str">
        <f>IF(A576&lt;&gt;"",_xlfn.MAXIFS($B$1:B575,$A$1:A575,A576)+1,"")</f>
        <v/>
      </c>
      <c r="C576" s="50"/>
      <c r="D576" s="50"/>
      <c r="E576" s="50"/>
      <c r="F576" s="50"/>
      <c r="G576" s="280"/>
      <c r="H576" s="293"/>
      <c r="I576" s="292"/>
      <c r="J576" s="292"/>
      <c r="K576" s="200"/>
      <c r="L576" s="200"/>
      <c r="M576" s="89" t="str">
        <f>IFERROR(VLOOKUP(H576,Lijsten!$H$1:$I$100,2,0),"")</f>
        <v/>
      </c>
      <c r="N576" s="89" t="str" cm="1">
        <f t="array" ref="N576">IFERROR(_xlfn.IFS(AND(LEFT(F576,6)="Arbeid",RIGHT(F576,3)&lt;&gt;"IKS"),IFERROR(VLOOKUP($G576,Tb_KostenTypen[],2,0),"tarief"),RIGHT(F576,3)="IKS","Uurtarief",LEFT(F576,6)="Arbeid","Uurtarief",AND(LEFT(F576,8)="Bijdrage",RIGHT(F576,15)="(vrijwilligers)"),"Vast tarief"),"")</f>
        <v/>
      </c>
      <c r="O576" s="90"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0"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1"/>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59"/>
      <c r="Z576" s="49"/>
      <c r="AA576" s="37" t="str" cm="1">
        <f t="array" ref="AA576">IFERROR(IF(INDEX(SubsidieTabel!$Q$1:$T$9,MATCH($F576,SubsidieTabel!$Q$1:$Q$9,0),IFERROR(MATCH(Methode_Keuze,SubsidieTabel!$Q$1:$T$1,0),2))&lt;&gt;1=TRUE,"ja",""),"")</f>
        <v/>
      </c>
    </row>
    <row r="577" spans="1:27" ht="15" customHeight="1" x14ac:dyDescent="0.25">
      <c r="A577" s="85"/>
      <c r="B577" s="217" t="str">
        <f>IF(A577&lt;&gt;"",_xlfn.MAXIFS($B$1:B576,$A$1:A576,A577)+1,"")</f>
        <v/>
      </c>
      <c r="C577" s="50"/>
      <c r="D577" s="50"/>
      <c r="E577" s="50"/>
      <c r="F577" s="50"/>
      <c r="G577" s="280"/>
      <c r="H577" s="293"/>
      <c r="I577" s="292"/>
      <c r="J577" s="292"/>
      <c r="K577" s="200"/>
      <c r="L577" s="200"/>
      <c r="M577" s="89" t="str">
        <f>IFERROR(VLOOKUP(H577,Lijsten!$H$1:$I$100,2,0),"")</f>
        <v/>
      </c>
      <c r="N577" s="89" t="str" cm="1">
        <f t="array" ref="N577">IFERROR(_xlfn.IFS(AND(LEFT(F577,6)="Arbeid",RIGHT(F577,3)&lt;&gt;"IKS"),IFERROR(VLOOKUP($G577,Tb_KostenTypen[],2,0),"tarief"),RIGHT(F577,3)="IKS","Uurtarief",LEFT(F577,6)="Arbeid","Uurtarief",AND(LEFT(F577,8)="Bijdrage",RIGHT(F577,15)="(vrijwilligers)"),"Vast tarief"),"")</f>
        <v/>
      </c>
      <c r="O577" s="90"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0"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1"/>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59"/>
      <c r="Z577" s="49"/>
      <c r="AA577" s="37" t="str" cm="1">
        <f t="array" ref="AA577">IFERROR(IF(INDEX(SubsidieTabel!$Q$1:$T$9,MATCH($F577,SubsidieTabel!$Q$1:$Q$9,0),IFERROR(MATCH(Methode_Keuze,SubsidieTabel!$Q$1:$T$1,0),2))&lt;&gt;1=TRUE,"ja",""),"")</f>
        <v/>
      </c>
    </row>
    <row r="578" spans="1:27" ht="15" customHeight="1" x14ac:dyDescent="0.25">
      <c r="A578" s="85"/>
      <c r="B578" s="217" t="str">
        <f>IF(A578&lt;&gt;"",_xlfn.MAXIFS($B$1:B577,$A$1:A577,A578)+1,"")</f>
        <v/>
      </c>
      <c r="C578" s="50"/>
      <c r="D578" s="50"/>
      <c r="E578" s="50"/>
      <c r="F578" s="50"/>
      <c r="G578" s="280"/>
      <c r="H578" s="293"/>
      <c r="I578" s="292"/>
      <c r="J578" s="292"/>
      <c r="K578" s="200"/>
      <c r="L578" s="200"/>
      <c r="M578" s="89" t="str">
        <f>IFERROR(VLOOKUP(H578,Lijsten!$H$1:$I$100,2,0),"")</f>
        <v/>
      </c>
      <c r="N578" s="89" t="str" cm="1">
        <f t="array" ref="N578">IFERROR(_xlfn.IFS(AND(LEFT(F578,6)="Arbeid",RIGHT(F578,3)&lt;&gt;"IKS"),IFERROR(VLOOKUP($G578,Tb_KostenTypen[],2,0),"tarief"),RIGHT(F578,3)="IKS","Uurtarief",LEFT(F578,6)="Arbeid","Uurtarief",AND(LEFT(F578,8)="Bijdrage",RIGHT(F578,15)="(vrijwilligers)"),"Vast tarief"),"")</f>
        <v/>
      </c>
      <c r="O578" s="90"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0"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1"/>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59"/>
      <c r="Z578" s="49"/>
      <c r="AA578" s="37" t="str" cm="1">
        <f t="array" ref="AA578">IFERROR(IF(INDEX(SubsidieTabel!$Q$1:$T$9,MATCH($F578,SubsidieTabel!$Q$1:$Q$9,0),IFERROR(MATCH(Methode_Keuze,SubsidieTabel!$Q$1:$T$1,0),2))&lt;&gt;1=TRUE,"ja",""),"")</f>
        <v/>
      </c>
    </row>
    <row r="579" spans="1:27" ht="15" customHeight="1" x14ac:dyDescent="0.25">
      <c r="A579" s="85"/>
      <c r="B579" s="217" t="str">
        <f>IF(A579&lt;&gt;"",_xlfn.MAXIFS($B$1:B578,$A$1:A578,A579)+1,"")</f>
        <v/>
      </c>
      <c r="C579" s="50"/>
      <c r="D579" s="50"/>
      <c r="E579" s="50"/>
      <c r="F579" s="50"/>
      <c r="G579" s="280"/>
      <c r="H579" s="293"/>
      <c r="I579" s="292"/>
      <c r="J579" s="292"/>
      <c r="K579" s="200"/>
      <c r="L579" s="200"/>
      <c r="M579" s="89" t="str">
        <f>IFERROR(VLOOKUP(H579,Lijsten!$H$1:$I$100,2,0),"")</f>
        <v/>
      </c>
      <c r="N579" s="89" t="str" cm="1">
        <f t="array" ref="N579">IFERROR(_xlfn.IFS(AND(LEFT(F579,6)="Arbeid",RIGHT(F579,3)&lt;&gt;"IKS"),IFERROR(VLOOKUP($G579,Tb_KostenTypen[],2,0),"tarief"),RIGHT(F579,3)="IKS","Uurtarief",LEFT(F579,6)="Arbeid","Uurtarief",AND(LEFT(F579,8)="Bijdrage",RIGHT(F579,15)="(vrijwilligers)"),"Vast tarief"),"")</f>
        <v/>
      </c>
      <c r="O579" s="90"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0"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1"/>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59"/>
      <c r="Z579" s="49"/>
      <c r="AA579" s="37" t="str" cm="1">
        <f t="array" ref="AA579">IFERROR(IF(INDEX(SubsidieTabel!$Q$1:$T$9,MATCH($F579,SubsidieTabel!$Q$1:$Q$9,0),IFERROR(MATCH(Methode_Keuze,SubsidieTabel!$Q$1:$T$1,0),2))&lt;&gt;1=TRUE,"ja",""),"")</f>
        <v/>
      </c>
    </row>
    <row r="580" spans="1:27" ht="15" customHeight="1" x14ac:dyDescent="0.25">
      <c r="A580" s="85"/>
      <c r="B580" s="217" t="str">
        <f>IF(A580&lt;&gt;"",_xlfn.MAXIFS($B$1:B579,$A$1:A579,A580)+1,"")</f>
        <v/>
      </c>
      <c r="C580" s="50"/>
      <c r="D580" s="50"/>
      <c r="E580" s="50"/>
      <c r="F580" s="50"/>
      <c r="G580" s="280"/>
      <c r="H580" s="293"/>
      <c r="I580" s="292"/>
      <c r="J580" s="292"/>
      <c r="K580" s="200"/>
      <c r="L580" s="200"/>
      <c r="M580" s="89" t="str">
        <f>IFERROR(VLOOKUP(H580,Lijsten!$H$1:$I$100,2,0),"")</f>
        <v/>
      </c>
      <c r="N580" s="89" t="str" cm="1">
        <f t="array" ref="N580">IFERROR(_xlfn.IFS(AND(LEFT(F580,6)="Arbeid",RIGHT(F580,3)&lt;&gt;"IKS"),IFERROR(VLOOKUP($G580,Tb_KostenTypen[],2,0),"tarief"),RIGHT(F580,3)="IKS","Uurtarief",LEFT(F580,6)="Arbeid","Uurtarief",AND(LEFT(F580,8)="Bijdrage",RIGHT(F580,15)="(vrijwilligers)"),"Vast tarief"),"")</f>
        <v/>
      </c>
      <c r="O580" s="90"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0"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1"/>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59"/>
      <c r="Z580" s="49"/>
      <c r="AA580" s="37" t="str" cm="1">
        <f t="array" ref="AA580">IFERROR(IF(INDEX(SubsidieTabel!$Q$1:$T$9,MATCH($F580,SubsidieTabel!$Q$1:$Q$9,0),IFERROR(MATCH(Methode_Keuze,SubsidieTabel!$Q$1:$T$1,0),2))&lt;&gt;1=TRUE,"ja",""),"")</f>
        <v/>
      </c>
    </row>
    <row r="581" spans="1:27" ht="15" customHeight="1" x14ac:dyDescent="0.25">
      <c r="A581" s="85"/>
      <c r="B581" s="217" t="str">
        <f>IF(A581&lt;&gt;"",_xlfn.MAXIFS($B$1:B580,$A$1:A580,A581)+1,"")</f>
        <v/>
      </c>
      <c r="C581" s="50"/>
      <c r="D581" s="50"/>
      <c r="E581" s="50"/>
      <c r="F581" s="50"/>
      <c r="G581" s="280"/>
      <c r="H581" s="293"/>
      <c r="I581" s="292"/>
      <c r="J581" s="292"/>
      <c r="K581" s="200"/>
      <c r="L581" s="200"/>
      <c r="M581" s="89" t="str">
        <f>IFERROR(VLOOKUP(H581,Lijsten!$H$1:$I$100,2,0),"")</f>
        <v/>
      </c>
      <c r="N581" s="89" t="str" cm="1">
        <f t="array" ref="N581">IFERROR(_xlfn.IFS(AND(LEFT(F581,6)="Arbeid",RIGHT(F581,3)&lt;&gt;"IKS"),IFERROR(VLOOKUP($G581,Tb_KostenTypen[],2,0),"tarief"),RIGHT(F581,3)="IKS","Uurtarief",LEFT(F581,6)="Arbeid","Uurtarief",AND(LEFT(F581,8)="Bijdrage",RIGHT(F581,15)="(vrijwilligers)"),"Vast tarief"),"")</f>
        <v/>
      </c>
      <c r="O581" s="90"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0"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1"/>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59"/>
      <c r="Z581" s="49"/>
      <c r="AA581" s="37" t="str" cm="1">
        <f t="array" ref="AA581">IFERROR(IF(INDEX(SubsidieTabel!$Q$1:$T$9,MATCH($F581,SubsidieTabel!$Q$1:$Q$9,0),IFERROR(MATCH(Methode_Keuze,SubsidieTabel!$Q$1:$T$1,0),2))&lt;&gt;1=TRUE,"ja",""),"")</f>
        <v/>
      </c>
    </row>
    <row r="582" spans="1:27" ht="15" customHeight="1" x14ac:dyDescent="0.25">
      <c r="A582" s="85"/>
      <c r="B582" s="217" t="str">
        <f>IF(A582&lt;&gt;"",_xlfn.MAXIFS($B$1:B581,$A$1:A581,A582)+1,"")</f>
        <v/>
      </c>
      <c r="C582" s="50"/>
      <c r="D582" s="50"/>
      <c r="E582" s="50"/>
      <c r="F582" s="50"/>
      <c r="G582" s="280"/>
      <c r="H582" s="293"/>
      <c r="I582" s="292"/>
      <c r="J582" s="292"/>
      <c r="K582" s="200"/>
      <c r="L582" s="200"/>
      <c r="M582" s="89" t="str">
        <f>IFERROR(VLOOKUP(H582,Lijsten!$H$1:$I$100,2,0),"")</f>
        <v/>
      </c>
      <c r="N582" s="89" t="str" cm="1">
        <f t="array" ref="N582">IFERROR(_xlfn.IFS(AND(LEFT(F582,6)="Arbeid",RIGHT(F582,3)&lt;&gt;"IKS"),IFERROR(VLOOKUP($G582,Tb_KostenTypen[],2,0),"tarief"),RIGHT(F582,3)="IKS","Uurtarief",LEFT(F582,6)="Arbeid","Uurtarief",AND(LEFT(F582,8)="Bijdrage",RIGHT(F582,15)="(vrijwilligers)"),"Vast tarief"),"")</f>
        <v/>
      </c>
      <c r="O582" s="90"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0"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1"/>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59"/>
      <c r="Z582" s="49"/>
      <c r="AA582" s="37" t="str" cm="1">
        <f t="array" ref="AA582">IFERROR(IF(INDEX(SubsidieTabel!$Q$1:$T$9,MATCH($F582,SubsidieTabel!$Q$1:$Q$9,0),IFERROR(MATCH(Methode_Keuze,SubsidieTabel!$Q$1:$T$1,0),2))&lt;&gt;1=TRUE,"ja",""),"")</f>
        <v/>
      </c>
    </row>
    <row r="583" spans="1:27" ht="15" customHeight="1" x14ac:dyDescent="0.25">
      <c r="A583" s="85"/>
      <c r="B583" s="217" t="str">
        <f>IF(A583&lt;&gt;"",_xlfn.MAXIFS($B$1:B582,$A$1:A582,A583)+1,"")</f>
        <v/>
      </c>
      <c r="C583" s="50"/>
      <c r="D583" s="50"/>
      <c r="E583" s="50"/>
      <c r="F583" s="50"/>
      <c r="G583" s="280"/>
      <c r="H583" s="293"/>
      <c r="I583" s="292"/>
      <c r="J583" s="292"/>
      <c r="K583" s="200"/>
      <c r="L583" s="200"/>
      <c r="M583" s="89" t="str">
        <f>IFERROR(VLOOKUP(H583,Lijsten!$H$1:$I$100,2,0),"")</f>
        <v/>
      </c>
      <c r="N583" s="89" t="str" cm="1">
        <f t="array" ref="N583">IFERROR(_xlfn.IFS(AND(LEFT(F583,6)="Arbeid",RIGHT(F583,3)&lt;&gt;"IKS"),IFERROR(VLOOKUP($G583,Tb_KostenTypen[],2,0),"tarief"),RIGHT(F583,3)="IKS","Uurtarief",LEFT(F583,6)="Arbeid","Uurtarief",AND(LEFT(F583,8)="Bijdrage",RIGHT(F583,15)="(vrijwilligers)"),"Vast tarief"),"")</f>
        <v/>
      </c>
      <c r="O583" s="90"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0"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1"/>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59"/>
      <c r="Z583" s="49"/>
      <c r="AA583" s="37" t="str" cm="1">
        <f t="array" ref="AA583">IFERROR(IF(INDEX(SubsidieTabel!$Q$1:$T$9,MATCH($F583,SubsidieTabel!$Q$1:$Q$9,0),IFERROR(MATCH(Methode_Keuze,SubsidieTabel!$Q$1:$T$1,0),2))&lt;&gt;1=TRUE,"ja",""),"")</f>
        <v/>
      </c>
    </row>
    <row r="584" spans="1:27" ht="15" customHeight="1" x14ac:dyDescent="0.25">
      <c r="A584" s="85"/>
      <c r="B584" s="217" t="str">
        <f>IF(A584&lt;&gt;"",_xlfn.MAXIFS($B$1:B583,$A$1:A583,A584)+1,"")</f>
        <v/>
      </c>
      <c r="C584" s="50"/>
      <c r="D584" s="50"/>
      <c r="E584" s="50"/>
      <c r="F584" s="50"/>
      <c r="G584" s="280"/>
      <c r="H584" s="293"/>
      <c r="I584" s="292"/>
      <c r="J584" s="292"/>
      <c r="K584" s="200"/>
      <c r="L584" s="200"/>
      <c r="M584" s="89" t="str">
        <f>IFERROR(VLOOKUP(H584,Lijsten!$H$1:$I$100,2,0),"")</f>
        <v/>
      </c>
      <c r="N584" s="89" t="str" cm="1">
        <f t="array" ref="N584">IFERROR(_xlfn.IFS(AND(LEFT(F584,6)="Arbeid",RIGHT(F584,3)&lt;&gt;"IKS"),IFERROR(VLOOKUP($G584,Tb_KostenTypen[],2,0),"tarief"),RIGHT(F584,3)="IKS","Uurtarief",LEFT(F584,6)="Arbeid","Uurtarief",AND(LEFT(F584,8)="Bijdrage",RIGHT(F584,15)="(vrijwilligers)"),"Vast tarief"),"")</f>
        <v/>
      </c>
      <c r="O584" s="90"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0"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1"/>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59"/>
      <c r="Z584" s="49"/>
      <c r="AA584" s="37" t="str" cm="1">
        <f t="array" ref="AA584">IFERROR(IF(INDEX(SubsidieTabel!$Q$1:$T$9,MATCH($F584,SubsidieTabel!$Q$1:$Q$9,0),IFERROR(MATCH(Methode_Keuze,SubsidieTabel!$Q$1:$T$1,0),2))&lt;&gt;1=TRUE,"ja",""),"")</f>
        <v/>
      </c>
    </row>
    <row r="585" spans="1:27" ht="15" customHeight="1" x14ac:dyDescent="0.25">
      <c r="A585" s="85"/>
      <c r="B585" s="217" t="str">
        <f>IF(A585&lt;&gt;"",_xlfn.MAXIFS($B$1:B584,$A$1:A584,A585)+1,"")</f>
        <v/>
      </c>
      <c r="C585" s="50"/>
      <c r="D585" s="50"/>
      <c r="E585" s="50"/>
      <c r="F585" s="50"/>
      <c r="G585" s="280"/>
      <c r="H585" s="293"/>
      <c r="I585" s="292"/>
      <c r="J585" s="292"/>
      <c r="K585" s="200"/>
      <c r="L585" s="200"/>
      <c r="M585" s="89" t="str">
        <f>IFERROR(VLOOKUP(H585,Lijsten!$H$1:$I$100,2,0),"")</f>
        <v/>
      </c>
      <c r="N585" s="89" t="str" cm="1">
        <f t="array" ref="N585">IFERROR(_xlfn.IFS(AND(LEFT(F585,6)="Arbeid",RIGHT(F585,3)&lt;&gt;"IKS"),IFERROR(VLOOKUP($G585,Tb_KostenTypen[],2,0),"tarief"),RIGHT(F585,3)="IKS","Uurtarief",LEFT(F585,6)="Arbeid","Uurtarief",AND(LEFT(F585,8)="Bijdrage",RIGHT(F585,15)="(vrijwilligers)"),"Vast tarief"),"")</f>
        <v/>
      </c>
      <c r="O585" s="90"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0"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1"/>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59"/>
      <c r="Z585" s="49"/>
      <c r="AA585" s="37" t="str" cm="1">
        <f t="array" ref="AA585">IFERROR(IF(INDEX(SubsidieTabel!$Q$1:$T$9,MATCH($F585,SubsidieTabel!$Q$1:$Q$9,0),IFERROR(MATCH(Methode_Keuze,SubsidieTabel!$Q$1:$T$1,0),2))&lt;&gt;1=TRUE,"ja",""),"")</f>
        <v/>
      </c>
    </row>
    <row r="586" spans="1:27" ht="15" customHeight="1" x14ac:dyDescent="0.25">
      <c r="A586" s="85"/>
      <c r="B586" s="217" t="str">
        <f>IF(A586&lt;&gt;"",_xlfn.MAXIFS($B$1:B585,$A$1:A585,A586)+1,"")</f>
        <v/>
      </c>
      <c r="C586" s="50"/>
      <c r="D586" s="50"/>
      <c r="E586" s="50"/>
      <c r="F586" s="50"/>
      <c r="G586" s="280"/>
      <c r="H586" s="293"/>
      <c r="I586" s="292"/>
      <c r="J586" s="292"/>
      <c r="K586" s="200"/>
      <c r="L586" s="200"/>
      <c r="M586" s="89" t="str">
        <f>IFERROR(VLOOKUP(H586,Lijsten!$H$1:$I$100,2,0),"")</f>
        <v/>
      </c>
      <c r="N586" s="89" t="str" cm="1">
        <f t="array" ref="N586">IFERROR(_xlfn.IFS(AND(LEFT(F586,6)="Arbeid",RIGHT(F586,3)&lt;&gt;"IKS"),IFERROR(VLOOKUP($G586,Tb_KostenTypen[],2,0),"tarief"),RIGHT(F586,3)="IKS","Uurtarief",LEFT(F586,6)="Arbeid","Uurtarief",AND(LEFT(F586,8)="Bijdrage",RIGHT(F586,15)="(vrijwilligers)"),"Vast tarief"),"")</f>
        <v/>
      </c>
      <c r="O586" s="90"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0"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1"/>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59"/>
      <c r="Z586" s="49"/>
      <c r="AA586" s="37" t="str" cm="1">
        <f t="array" ref="AA586">IFERROR(IF(INDEX(SubsidieTabel!$Q$1:$T$9,MATCH($F586,SubsidieTabel!$Q$1:$Q$9,0),IFERROR(MATCH(Methode_Keuze,SubsidieTabel!$Q$1:$T$1,0),2))&lt;&gt;1=TRUE,"ja",""),"")</f>
        <v/>
      </c>
    </row>
    <row r="587" spans="1:27" ht="15" customHeight="1" x14ac:dyDescent="0.25">
      <c r="A587" s="85"/>
      <c r="B587" s="217" t="str">
        <f>IF(A587&lt;&gt;"",_xlfn.MAXIFS($B$1:B586,$A$1:A586,A587)+1,"")</f>
        <v/>
      </c>
      <c r="C587" s="50"/>
      <c r="D587" s="50"/>
      <c r="E587" s="50"/>
      <c r="F587" s="50"/>
      <c r="G587" s="280"/>
      <c r="H587" s="293"/>
      <c r="I587" s="292"/>
      <c r="J587" s="292"/>
      <c r="K587" s="200"/>
      <c r="L587" s="200"/>
      <c r="M587" s="89" t="str">
        <f>IFERROR(VLOOKUP(H587,Lijsten!$H$1:$I$100,2,0),"")</f>
        <v/>
      </c>
      <c r="N587" s="89" t="str" cm="1">
        <f t="array" ref="N587">IFERROR(_xlfn.IFS(AND(LEFT(F587,6)="Arbeid",RIGHT(F587,3)&lt;&gt;"IKS"),IFERROR(VLOOKUP($G587,Tb_KostenTypen[],2,0),"tarief"),RIGHT(F587,3)="IKS","Uurtarief",LEFT(F587,6)="Arbeid","Uurtarief",AND(LEFT(F587,8)="Bijdrage",RIGHT(F587,15)="(vrijwilligers)"),"Vast tarief"),"")</f>
        <v/>
      </c>
      <c r="O587" s="90"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0"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1"/>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59"/>
      <c r="Z587" s="49"/>
      <c r="AA587" s="37" t="str" cm="1">
        <f t="array" ref="AA587">IFERROR(IF(INDEX(SubsidieTabel!$Q$1:$T$9,MATCH($F587,SubsidieTabel!$Q$1:$Q$9,0),IFERROR(MATCH(Methode_Keuze,SubsidieTabel!$Q$1:$T$1,0),2))&lt;&gt;1=TRUE,"ja",""),"")</f>
        <v/>
      </c>
    </row>
    <row r="588" spans="1:27" ht="15" customHeight="1" x14ac:dyDescent="0.25">
      <c r="A588" s="85"/>
      <c r="B588" s="217" t="str">
        <f>IF(A588&lt;&gt;"",_xlfn.MAXIFS($B$1:B587,$A$1:A587,A588)+1,"")</f>
        <v/>
      </c>
      <c r="C588" s="50"/>
      <c r="D588" s="50"/>
      <c r="E588" s="50"/>
      <c r="F588" s="50"/>
      <c r="G588" s="280"/>
      <c r="H588" s="293"/>
      <c r="I588" s="292"/>
      <c r="J588" s="292"/>
      <c r="K588" s="200"/>
      <c r="L588" s="200"/>
      <c r="M588" s="89" t="str">
        <f>IFERROR(VLOOKUP(H588,Lijsten!$H$1:$I$100,2,0),"")</f>
        <v/>
      </c>
      <c r="N588" s="89" t="str" cm="1">
        <f t="array" ref="N588">IFERROR(_xlfn.IFS(AND(LEFT(F588,6)="Arbeid",RIGHT(F588,3)&lt;&gt;"IKS"),IFERROR(VLOOKUP($G588,Tb_KostenTypen[],2,0),"tarief"),RIGHT(F588,3)="IKS","Uurtarief",LEFT(F588,6)="Arbeid","Uurtarief",AND(LEFT(F588,8)="Bijdrage",RIGHT(F588,15)="(vrijwilligers)"),"Vast tarief"),"")</f>
        <v/>
      </c>
      <c r="O588" s="90"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0"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1"/>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59"/>
      <c r="Z588" s="49"/>
      <c r="AA588" s="37" t="str" cm="1">
        <f t="array" ref="AA588">IFERROR(IF(INDEX(SubsidieTabel!$Q$1:$T$9,MATCH($F588,SubsidieTabel!$Q$1:$Q$9,0),IFERROR(MATCH(Methode_Keuze,SubsidieTabel!$Q$1:$T$1,0),2))&lt;&gt;1=TRUE,"ja",""),"")</f>
        <v/>
      </c>
    </row>
    <row r="589" spans="1:27" ht="15" customHeight="1" x14ac:dyDescent="0.25">
      <c r="A589" s="85"/>
      <c r="B589" s="217" t="str">
        <f>IF(A589&lt;&gt;"",_xlfn.MAXIFS($B$1:B588,$A$1:A588,A589)+1,"")</f>
        <v/>
      </c>
      <c r="C589" s="50"/>
      <c r="D589" s="50"/>
      <c r="E589" s="50"/>
      <c r="F589" s="50"/>
      <c r="G589" s="280"/>
      <c r="H589" s="293"/>
      <c r="I589" s="292"/>
      <c r="J589" s="292"/>
      <c r="K589" s="200"/>
      <c r="L589" s="200"/>
      <c r="M589" s="89" t="str">
        <f>IFERROR(VLOOKUP(H589,Lijsten!$H$1:$I$100,2,0),"")</f>
        <v/>
      </c>
      <c r="N589" s="89" t="str" cm="1">
        <f t="array" ref="N589">IFERROR(_xlfn.IFS(AND(LEFT(F589,6)="Arbeid",RIGHT(F589,3)&lt;&gt;"IKS"),IFERROR(VLOOKUP($G589,Tb_KostenTypen[],2,0),"tarief"),RIGHT(F589,3)="IKS","Uurtarief",LEFT(F589,6)="Arbeid","Uurtarief",AND(LEFT(F589,8)="Bijdrage",RIGHT(F589,15)="(vrijwilligers)"),"Vast tarief"),"")</f>
        <v/>
      </c>
      <c r="O589" s="90"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0"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1"/>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59"/>
      <c r="Z589" s="49"/>
      <c r="AA589" s="37" t="str" cm="1">
        <f t="array" ref="AA589">IFERROR(IF(INDEX(SubsidieTabel!$Q$1:$T$9,MATCH($F589,SubsidieTabel!$Q$1:$Q$9,0),IFERROR(MATCH(Methode_Keuze,SubsidieTabel!$Q$1:$T$1,0),2))&lt;&gt;1=TRUE,"ja",""),"")</f>
        <v/>
      </c>
    </row>
    <row r="590" spans="1:27" ht="15" customHeight="1" x14ac:dyDescent="0.25">
      <c r="A590" s="85"/>
      <c r="B590" s="217" t="str">
        <f>IF(A590&lt;&gt;"",_xlfn.MAXIFS($B$1:B589,$A$1:A589,A590)+1,"")</f>
        <v/>
      </c>
      <c r="C590" s="50"/>
      <c r="D590" s="50"/>
      <c r="E590" s="50"/>
      <c r="F590" s="50"/>
      <c r="G590" s="280"/>
      <c r="H590" s="293"/>
      <c r="I590" s="292"/>
      <c r="J590" s="292"/>
      <c r="K590" s="200"/>
      <c r="L590" s="200"/>
      <c r="M590" s="89" t="str">
        <f>IFERROR(VLOOKUP(H590,Lijsten!$H$1:$I$100,2,0),"")</f>
        <v/>
      </c>
      <c r="N590" s="89" t="str" cm="1">
        <f t="array" ref="N590">IFERROR(_xlfn.IFS(AND(LEFT(F590,6)="Arbeid",RIGHT(F590,3)&lt;&gt;"IKS"),IFERROR(VLOOKUP($G590,Tb_KostenTypen[],2,0),"tarief"),RIGHT(F590,3)="IKS","Uurtarief",LEFT(F590,6)="Arbeid","Uurtarief",AND(LEFT(F590,8)="Bijdrage",RIGHT(F590,15)="(vrijwilligers)"),"Vast tarief"),"")</f>
        <v/>
      </c>
      <c r="O590" s="90"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0"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1"/>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59"/>
      <c r="Z590" s="49"/>
      <c r="AA590" s="37" t="str" cm="1">
        <f t="array" ref="AA590">IFERROR(IF(INDEX(SubsidieTabel!$Q$1:$T$9,MATCH($F590,SubsidieTabel!$Q$1:$Q$9,0),IFERROR(MATCH(Methode_Keuze,SubsidieTabel!$Q$1:$T$1,0),2))&lt;&gt;1=TRUE,"ja",""),"")</f>
        <v/>
      </c>
    </row>
    <row r="591" spans="1:27" ht="15" customHeight="1" x14ac:dyDescent="0.25">
      <c r="A591" s="85"/>
      <c r="B591" s="217" t="str">
        <f>IF(A591&lt;&gt;"",_xlfn.MAXIFS($B$1:B590,$A$1:A590,A591)+1,"")</f>
        <v/>
      </c>
      <c r="C591" s="50"/>
      <c r="D591" s="50"/>
      <c r="E591" s="50"/>
      <c r="F591" s="50"/>
      <c r="G591" s="280"/>
      <c r="H591" s="293"/>
      <c r="I591" s="292"/>
      <c r="J591" s="292"/>
      <c r="K591" s="200"/>
      <c r="L591" s="200"/>
      <c r="M591" s="89" t="str">
        <f>IFERROR(VLOOKUP(H591,Lijsten!$H$1:$I$100,2,0),"")</f>
        <v/>
      </c>
      <c r="N591" s="89" t="str" cm="1">
        <f t="array" ref="N591">IFERROR(_xlfn.IFS(AND(LEFT(F591,6)="Arbeid",RIGHT(F591,3)&lt;&gt;"IKS"),IFERROR(VLOOKUP($G591,Tb_KostenTypen[],2,0),"tarief"),RIGHT(F591,3)="IKS","Uurtarief",LEFT(F591,6)="Arbeid","Uurtarief",AND(LEFT(F591,8)="Bijdrage",RIGHT(F591,15)="(vrijwilligers)"),"Vast tarief"),"")</f>
        <v/>
      </c>
      <c r="O591" s="90"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0"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1"/>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59"/>
      <c r="Z591" s="49"/>
      <c r="AA591" s="37" t="str" cm="1">
        <f t="array" ref="AA591">IFERROR(IF(INDEX(SubsidieTabel!$Q$1:$T$9,MATCH($F591,SubsidieTabel!$Q$1:$Q$9,0),IFERROR(MATCH(Methode_Keuze,SubsidieTabel!$Q$1:$T$1,0),2))&lt;&gt;1=TRUE,"ja",""),"")</f>
        <v/>
      </c>
    </row>
    <row r="592" spans="1:27" ht="15" customHeight="1" x14ac:dyDescent="0.25">
      <c r="A592" s="85"/>
      <c r="B592" s="217" t="str">
        <f>IF(A592&lt;&gt;"",_xlfn.MAXIFS($B$1:B591,$A$1:A591,A592)+1,"")</f>
        <v/>
      </c>
      <c r="C592" s="50"/>
      <c r="D592" s="50"/>
      <c r="E592" s="50"/>
      <c r="F592" s="50"/>
      <c r="G592" s="280"/>
      <c r="H592" s="293"/>
      <c r="I592" s="292"/>
      <c r="J592" s="292"/>
      <c r="K592" s="200"/>
      <c r="L592" s="200"/>
      <c r="M592" s="89" t="str">
        <f>IFERROR(VLOOKUP(H592,Lijsten!$H$1:$I$100,2,0),"")</f>
        <v/>
      </c>
      <c r="N592" s="89" t="str" cm="1">
        <f t="array" ref="N592">IFERROR(_xlfn.IFS(AND(LEFT(F592,6)="Arbeid",RIGHT(F592,3)&lt;&gt;"IKS"),IFERROR(VLOOKUP($G592,Tb_KostenTypen[],2,0),"tarief"),RIGHT(F592,3)="IKS","Uurtarief",LEFT(F592,6)="Arbeid","Uurtarief",AND(LEFT(F592,8)="Bijdrage",RIGHT(F592,15)="(vrijwilligers)"),"Vast tarief"),"")</f>
        <v/>
      </c>
      <c r="O592" s="90"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0"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1"/>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59"/>
      <c r="Z592" s="49"/>
      <c r="AA592" s="37" t="str" cm="1">
        <f t="array" ref="AA592">IFERROR(IF(INDEX(SubsidieTabel!$Q$1:$T$9,MATCH($F592,SubsidieTabel!$Q$1:$Q$9,0),IFERROR(MATCH(Methode_Keuze,SubsidieTabel!$Q$1:$T$1,0),2))&lt;&gt;1=TRUE,"ja",""),"")</f>
        <v/>
      </c>
    </row>
    <row r="593" spans="1:27" ht="15" customHeight="1" x14ac:dyDescent="0.25">
      <c r="A593" s="85"/>
      <c r="B593" s="217" t="str">
        <f>IF(A593&lt;&gt;"",_xlfn.MAXIFS($B$1:B592,$A$1:A592,A593)+1,"")</f>
        <v/>
      </c>
      <c r="C593" s="50"/>
      <c r="D593" s="50"/>
      <c r="E593" s="50"/>
      <c r="F593" s="50"/>
      <c r="G593" s="280"/>
      <c r="H593" s="293"/>
      <c r="I593" s="292"/>
      <c r="J593" s="292"/>
      <c r="K593" s="200"/>
      <c r="L593" s="200"/>
      <c r="M593" s="89" t="str">
        <f>IFERROR(VLOOKUP(H593,Lijsten!$H$1:$I$100,2,0),"")</f>
        <v/>
      </c>
      <c r="N593" s="89" t="str" cm="1">
        <f t="array" ref="N593">IFERROR(_xlfn.IFS(AND(LEFT(F593,6)="Arbeid",RIGHT(F593,3)&lt;&gt;"IKS"),IFERROR(VLOOKUP($G593,Tb_KostenTypen[],2,0),"tarief"),RIGHT(F593,3)="IKS","Uurtarief",LEFT(F593,6)="Arbeid","Uurtarief",AND(LEFT(F593,8)="Bijdrage",RIGHT(F593,15)="(vrijwilligers)"),"Vast tarief"),"")</f>
        <v/>
      </c>
      <c r="O593" s="90"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0"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1"/>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59"/>
      <c r="Z593" s="49"/>
      <c r="AA593" s="37" t="str" cm="1">
        <f t="array" ref="AA593">IFERROR(IF(INDEX(SubsidieTabel!$Q$1:$T$9,MATCH($F593,SubsidieTabel!$Q$1:$Q$9,0),IFERROR(MATCH(Methode_Keuze,SubsidieTabel!$Q$1:$T$1,0),2))&lt;&gt;1=TRUE,"ja",""),"")</f>
        <v/>
      </c>
    </row>
    <row r="594" spans="1:27" ht="15" customHeight="1" x14ac:dyDescent="0.25">
      <c r="A594" s="85"/>
      <c r="B594" s="217" t="str">
        <f>IF(A594&lt;&gt;"",_xlfn.MAXIFS($B$1:B593,$A$1:A593,A594)+1,"")</f>
        <v/>
      </c>
      <c r="C594" s="50"/>
      <c r="D594" s="50"/>
      <c r="E594" s="50"/>
      <c r="F594" s="50"/>
      <c r="G594" s="280"/>
      <c r="H594" s="293"/>
      <c r="I594" s="292"/>
      <c r="J594" s="292"/>
      <c r="K594" s="200"/>
      <c r="L594" s="200"/>
      <c r="M594" s="89" t="str">
        <f>IFERROR(VLOOKUP(H594,Lijsten!$H$1:$I$100,2,0),"")</f>
        <v/>
      </c>
      <c r="N594" s="89" t="str" cm="1">
        <f t="array" ref="N594">IFERROR(_xlfn.IFS(AND(LEFT(F594,6)="Arbeid",RIGHT(F594,3)&lt;&gt;"IKS"),IFERROR(VLOOKUP($G594,Tb_KostenTypen[],2,0),"tarief"),RIGHT(F594,3)="IKS","Uurtarief",LEFT(F594,6)="Arbeid","Uurtarief",AND(LEFT(F594,8)="Bijdrage",RIGHT(F594,15)="(vrijwilligers)"),"Vast tarief"),"")</f>
        <v/>
      </c>
      <c r="O594" s="90"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0"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1"/>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59"/>
      <c r="Z594" s="49"/>
      <c r="AA594" s="37" t="str" cm="1">
        <f t="array" ref="AA594">IFERROR(IF(INDEX(SubsidieTabel!$Q$1:$T$9,MATCH($F594,SubsidieTabel!$Q$1:$Q$9,0),IFERROR(MATCH(Methode_Keuze,SubsidieTabel!$Q$1:$T$1,0),2))&lt;&gt;1=TRUE,"ja",""),"")</f>
        <v/>
      </c>
    </row>
    <row r="595" spans="1:27" ht="15" customHeight="1" x14ac:dyDescent="0.25">
      <c r="A595" s="85"/>
      <c r="B595" s="217" t="str">
        <f>IF(A595&lt;&gt;"",_xlfn.MAXIFS($B$1:B594,$A$1:A594,A595)+1,"")</f>
        <v/>
      </c>
      <c r="C595" s="50"/>
      <c r="D595" s="50"/>
      <c r="E595" s="50"/>
      <c r="F595" s="50"/>
      <c r="G595" s="280"/>
      <c r="H595" s="293"/>
      <c r="I595" s="292"/>
      <c r="J595" s="292"/>
      <c r="K595" s="200"/>
      <c r="L595" s="200"/>
      <c r="M595" s="89" t="str">
        <f>IFERROR(VLOOKUP(H595,Lijsten!$H$1:$I$100,2,0),"")</f>
        <v/>
      </c>
      <c r="N595" s="89" t="str" cm="1">
        <f t="array" ref="N595">IFERROR(_xlfn.IFS(AND(LEFT(F595,6)="Arbeid",RIGHT(F595,3)&lt;&gt;"IKS"),IFERROR(VLOOKUP($G595,Tb_KostenTypen[],2,0),"tarief"),RIGHT(F595,3)="IKS","Uurtarief",LEFT(F595,6)="Arbeid","Uurtarief",AND(LEFT(F595,8)="Bijdrage",RIGHT(F595,15)="(vrijwilligers)"),"Vast tarief"),"")</f>
        <v/>
      </c>
      <c r="O595" s="90"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0"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1"/>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59"/>
      <c r="Z595" s="49"/>
      <c r="AA595" s="37" t="str" cm="1">
        <f t="array" ref="AA595">IFERROR(IF(INDEX(SubsidieTabel!$Q$1:$T$9,MATCH($F595,SubsidieTabel!$Q$1:$Q$9,0),IFERROR(MATCH(Methode_Keuze,SubsidieTabel!$Q$1:$T$1,0),2))&lt;&gt;1=TRUE,"ja",""),"")</f>
        <v/>
      </c>
    </row>
    <row r="596" spans="1:27" ht="15" customHeight="1" x14ac:dyDescent="0.25">
      <c r="A596" s="85"/>
      <c r="B596" s="217" t="str">
        <f>IF(A596&lt;&gt;"",_xlfn.MAXIFS($B$1:B595,$A$1:A595,A596)+1,"")</f>
        <v/>
      </c>
      <c r="C596" s="50"/>
      <c r="D596" s="50"/>
      <c r="E596" s="50"/>
      <c r="F596" s="50"/>
      <c r="G596" s="280"/>
      <c r="H596" s="293"/>
      <c r="I596" s="292"/>
      <c r="J596" s="292"/>
      <c r="K596" s="200"/>
      <c r="L596" s="200"/>
      <c r="M596" s="89" t="str">
        <f>IFERROR(VLOOKUP(H596,Lijsten!$H$1:$I$100,2,0),"")</f>
        <v/>
      </c>
      <c r="N596" s="89" t="str" cm="1">
        <f t="array" ref="N596">IFERROR(_xlfn.IFS(AND(LEFT(F596,6)="Arbeid",RIGHT(F596,3)&lt;&gt;"IKS"),IFERROR(VLOOKUP($G596,Tb_KostenTypen[],2,0),"tarief"),RIGHT(F596,3)="IKS","Uurtarief",LEFT(F596,6)="Arbeid","Uurtarief",AND(LEFT(F596,8)="Bijdrage",RIGHT(F596,15)="(vrijwilligers)"),"Vast tarief"),"")</f>
        <v/>
      </c>
      <c r="O596" s="90"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0"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1"/>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59"/>
      <c r="Z596" s="49"/>
      <c r="AA596" s="37" t="str" cm="1">
        <f t="array" ref="AA596">IFERROR(IF(INDEX(SubsidieTabel!$Q$1:$T$9,MATCH($F596,SubsidieTabel!$Q$1:$Q$9,0),IFERROR(MATCH(Methode_Keuze,SubsidieTabel!$Q$1:$T$1,0),2))&lt;&gt;1=TRUE,"ja",""),"")</f>
        <v/>
      </c>
    </row>
    <row r="597" spans="1:27" ht="15" customHeight="1" x14ac:dyDescent="0.25">
      <c r="A597" s="85"/>
      <c r="B597" s="217" t="str">
        <f>IF(A597&lt;&gt;"",_xlfn.MAXIFS($B$1:B596,$A$1:A596,A597)+1,"")</f>
        <v/>
      </c>
      <c r="C597" s="50"/>
      <c r="D597" s="50"/>
      <c r="E597" s="50"/>
      <c r="F597" s="50"/>
      <c r="G597" s="280"/>
      <c r="H597" s="293"/>
      <c r="I597" s="292"/>
      <c r="J597" s="292"/>
      <c r="K597" s="200"/>
      <c r="L597" s="200"/>
      <c r="M597" s="89" t="str">
        <f>IFERROR(VLOOKUP(H597,Lijsten!$H$1:$I$100,2,0),"")</f>
        <v/>
      </c>
      <c r="N597" s="89" t="str" cm="1">
        <f t="array" ref="N597">IFERROR(_xlfn.IFS(AND(LEFT(F597,6)="Arbeid",RIGHT(F597,3)&lt;&gt;"IKS"),IFERROR(VLOOKUP($G597,Tb_KostenTypen[],2,0),"tarief"),RIGHT(F597,3)="IKS","Uurtarief",LEFT(F597,6)="Arbeid","Uurtarief",AND(LEFT(F597,8)="Bijdrage",RIGHT(F597,15)="(vrijwilligers)"),"Vast tarief"),"")</f>
        <v/>
      </c>
      <c r="O597" s="90"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0"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1"/>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59"/>
      <c r="Z597" s="49"/>
      <c r="AA597" s="37" t="str" cm="1">
        <f t="array" ref="AA597">IFERROR(IF(INDEX(SubsidieTabel!$Q$1:$T$9,MATCH($F597,SubsidieTabel!$Q$1:$Q$9,0),IFERROR(MATCH(Methode_Keuze,SubsidieTabel!$Q$1:$T$1,0),2))&lt;&gt;1=TRUE,"ja",""),"")</f>
        <v/>
      </c>
    </row>
    <row r="598" spans="1:27" ht="15" customHeight="1" x14ac:dyDescent="0.25">
      <c r="A598" s="85"/>
      <c r="B598" s="217" t="str">
        <f>IF(A598&lt;&gt;"",_xlfn.MAXIFS($B$1:B597,$A$1:A597,A598)+1,"")</f>
        <v/>
      </c>
      <c r="C598" s="50"/>
      <c r="D598" s="50"/>
      <c r="E598" s="50"/>
      <c r="F598" s="50"/>
      <c r="G598" s="280"/>
      <c r="H598" s="293"/>
      <c r="I598" s="292"/>
      <c r="J598" s="292"/>
      <c r="K598" s="200"/>
      <c r="L598" s="200"/>
      <c r="M598" s="89" t="str">
        <f>IFERROR(VLOOKUP(H598,Lijsten!$H$1:$I$100,2,0),"")</f>
        <v/>
      </c>
      <c r="N598" s="89" t="str" cm="1">
        <f t="array" ref="N598">IFERROR(_xlfn.IFS(AND(LEFT(F598,6)="Arbeid",RIGHT(F598,3)&lt;&gt;"IKS"),IFERROR(VLOOKUP($G598,Tb_KostenTypen[],2,0),"tarief"),RIGHT(F598,3)="IKS","Uurtarief",LEFT(F598,6)="Arbeid","Uurtarief",AND(LEFT(F598,8)="Bijdrage",RIGHT(F598,15)="(vrijwilligers)"),"Vast tarief"),"")</f>
        <v/>
      </c>
      <c r="O598" s="90"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0"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1"/>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59"/>
      <c r="Z598" s="49"/>
      <c r="AA598" s="37" t="str" cm="1">
        <f t="array" ref="AA598">IFERROR(IF(INDEX(SubsidieTabel!$Q$1:$T$9,MATCH($F598,SubsidieTabel!$Q$1:$Q$9,0),IFERROR(MATCH(Methode_Keuze,SubsidieTabel!$Q$1:$T$1,0),2))&lt;&gt;1=TRUE,"ja",""),"")</f>
        <v/>
      </c>
    </row>
    <row r="599" spans="1:27" ht="15" customHeight="1" x14ac:dyDescent="0.25">
      <c r="A599" s="85"/>
      <c r="B599" s="217" t="str">
        <f>IF(A599&lt;&gt;"",_xlfn.MAXIFS($B$1:B598,$A$1:A598,A599)+1,"")</f>
        <v/>
      </c>
      <c r="C599" s="50"/>
      <c r="D599" s="50"/>
      <c r="E599" s="50"/>
      <c r="F599" s="50"/>
      <c r="G599" s="280"/>
      <c r="H599" s="293"/>
      <c r="I599" s="292"/>
      <c r="J599" s="292"/>
      <c r="K599" s="200"/>
      <c r="L599" s="200"/>
      <c r="M599" s="89" t="str">
        <f>IFERROR(VLOOKUP(H599,Lijsten!$H$1:$I$100,2,0),"")</f>
        <v/>
      </c>
      <c r="N599" s="89" t="str" cm="1">
        <f t="array" ref="N599">IFERROR(_xlfn.IFS(AND(LEFT(F599,6)="Arbeid",RIGHT(F599,3)&lt;&gt;"IKS"),IFERROR(VLOOKUP($G599,Tb_KostenTypen[],2,0),"tarief"),RIGHT(F599,3)="IKS","Uurtarief",LEFT(F599,6)="Arbeid","Uurtarief",AND(LEFT(F599,8)="Bijdrage",RIGHT(F599,15)="(vrijwilligers)"),"Vast tarief"),"")</f>
        <v/>
      </c>
      <c r="O599" s="90"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0"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1"/>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59"/>
      <c r="Z599" s="49"/>
      <c r="AA599" s="37" t="str" cm="1">
        <f t="array" ref="AA599">IFERROR(IF(INDEX(SubsidieTabel!$Q$1:$T$9,MATCH($F599,SubsidieTabel!$Q$1:$Q$9,0),IFERROR(MATCH(Methode_Keuze,SubsidieTabel!$Q$1:$T$1,0),2))&lt;&gt;1=TRUE,"ja",""),"")</f>
        <v/>
      </c>
    </row>
    <row r="600" spans="1:27" ht="15" customHeight="1" x14ac:dyDescent="0.25">
      <c r="A600" s="85"/>
      <c r="B600" s="217" t="str">
        <f>IF(A600&lt;&gt;"",_xlfn.MAXIFS($B$1:B599,$A$1:A599,A600)+1,"")</f>
        <v/>
      </c>
      <c r="C600" s="50"/>
      <c r="D600" s="50"/>
      <c r="E600" s="50"/>
      <c r="F600" s="50"/>
      <c r="G600" s="280"/>
      <c r="H600" s="293"/>
      <c r="I600" s="292"/>
      <c r="J600" s="292"/>
      <c r="K600" s="200"/>
      <c r="L600" s="200"/>
      <c r="M600" s="89" t="str">
        <f>IFERROR(VLOOKUP(H600,Lijsten!$H$1:$I$100,2,0),"")</f>
        <v/>
      </c>
      <c r="N600" s="89" t="str" cm="1">
        <f t="array" ref="N600">IFERROR(_xlfn.IFS(AND(LEFT(F600,6)="Arbeid",RIGHT(F600,3)&lt;&gt;"IKS"),IFERROR(VLOOKUP($G600,Tb_KostenTypen[],2,0),"tarief"),RIGHT(F600,3)="IKS","Uurtarief",LEFT(F600,6)="Arbeid","Uurtarief",AND(LEFT(F600,8)="Bijdrage",RIGHT(F600,15)="(vrijwilligers)"),"Vast tarief"),"")</f>
        <v/>
      </c>
      <c r="O600" s="90"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0"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1"/>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59"/>
      <c r="Z600" s="49"/>
      <c r="AA600" s="37" t="str" cm="1">
        <f t="array" ref="AA600">IFERROR(IF(INDEX(SubsidieTabel!$Q$1:$T$9,MATCH($F600,SubsidieTabel!$Q$1:$Q$9,0),IFERROR(MATCH(Methode_Keuze,SubsidieTabel!$Q$1:$T$1,0),2))&lt;&gt;1=TRUE,"ja",""),"")</f>
        <v/>
      </c>
    </row>
    <row r="601" spans="1:27" ht="15" customHeight="1" x14ac:dyDescent="0.25">
      <c r="A601" s="85"/>
      <c r="B601" s="217" t="str">
        <f>IF(A601&lt;&gt;"",_xlfn.MAXIFS($B$1:B600,$A$1:A600,A601)+1,"")</f>
        <v/>
      </c>
      <c r="C601" s="50"/>
      <c r="D601" s="50"/>
      <c r="E601" s="50"/>
      <c r="F601" s="50"/>
      <c r="G601" s="280"/>
      <c r="H601" s="293"/>
      <c r="I601" s="292"/>
      <c r="J601" s="292"/>
      <c r="K601" s="200"/>
      <c r="L601" s="200"/>
      <c r="M601" s="89" t="str">
        <f>IFERROR(VLOOKUP(H601,Lijsten!$H$1:$I$100,2,0),"")</f>
        <v/>
      </c>
      <c r="N601" s="89" t="str" cm="1">
        <f t="array" ref="N601">IFERROR(_xlfn.IFS(AND(LEFT(F601,6)="Arbeid",RIGHT(F601,3)&lt;&gt;"IKS"),IFERROR(VLOOKUP($G601,Tb_KostenTypen[],2,0),"tarief"),RIGHT(F601,3)="IKS","Uurtarief",LEFT(F601,6)="Arbeid","Uurtarief",AND(LEFT(F601,8)="Bijdrage",RIGHT(F601,15)="(vrijwilligers)"),"Vast tarief"),"")</f>
        <v/>
      </c>
      <c r="O601" s="90"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0"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1"/>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59"/>
      <c r="Z601" s="49"/>
      <c r="AA601" s="37" t="str" cm="1">
        <f t="array" ref="AA601">IFERROR(IF(INDEX(SubsidieTabel!$Q$1:$T$9,MATCH($F601,SubsidieTabel!$Q$1:$Q$9,0),IFERROR(MATCH(Methode_Keuze,SubsidieTabel!$Q$1:$T$1,0),2))&lt;&gt;1=TRUE,"ja",""),"")</f>
        <v/>
      </c>
    </row>
    <row r="602" spans="1:27" ht="15" customHeight="1" x14ac:dyDescent="0.25">
      <c r="A602" s="85"/>
      <c r="B602" s="217" t="str">
        <f>IF(A602&lt;&gt;"",_xlfn.MAXIFS($B$1:B601,$A$1:A601,A602)+1,"")</f>
        <v/>
      </c>
      <c r="C602" s="50"/>
      <c r="D602" s="50"/>
      <c r="E602" s="50"/>
      <c r="F602" s="50"/>
      <c r="G602" s="280"/>
      <c r="H602" s="293"/>
      <c r="I602" s="292"/>
      <c r="J602" s="292"/>
      <c r="K602" s="200"/>
      <c r="L602" s="200"/>
      <c r="M602" s="89" t="str">
        <f>IFERROR(VLOOKUP(H602,Lijsten!$H$1:$I$100,2,0),"")</f>
        <v/>
      </c>
      <c r="N602" s="89" t="str" cm="1">
        <f t="array" ref="N602">IFERROR(_xlfn.IFS(AND(LEFT(F602,6)="Arbeid",RIGHT(F602,3)&lt;&gt;"IKS"),IFERROR(VLOOKUP($G602,Tb_KostenTypen[],2,0),"tarief"),RIGHT(F602,3)="IKS","Uurtarief",LEFT(F602,6)="Arbeid","Uurtarief",AND(LEFT(F602,8)="Bijdrage",RIGHT(F602,15)="(vrijwilligers)"),"Vast tarief"),"")</f>
        <v/>
      </c>
      <c r="O602" s="90"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0"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1"/>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59"/>
      <c r="Z602" s="49"/>
      <c r="AA602" s="37" t="str" cm="1">
        <f t="array" ref="AA602">IFERROR(IF(INDEX(SubsidieTabel!$Q$1:$T$9,MATCH($F602,SubsidieTabel!$Q$1:$Q$9,0),IFERROR(MATCH(Methode_Keuze,SubsidieTabel!$Q$1:$T$1,0),2))&lt;&gt;1=TRUE,"ja",""),"")</f>
        <v/>
      </c>
    </row>
    <row r="603" spans="1:27" ht="15" customHeight="1" x14ac:dyDescent="0.25">
      <c r="A603" s="85"/>
      <c r="B603" s="217" t="str">
        <f>IF(A603&lt;&gt;"",_xlfn.MAXIFS($B$1:B602,$A$1:A602,A603)+1,"")</f>
        <v/>
      </c>
      <c r="C603" s="50"/>
      <c r="D603" s="50"/>
      <c r="E603" s="50"/>
      <c r="F603" s="50"/>
      <c r="G603" s="280"/>
      <c r="H603" s="293"/>
      <c r="I603" s="292"/>
      <c r="J603" s="292"/>
      <c r="K603" s="200"/>
      <c r="L603" s="200"/>
      <c r="M603" s="89" t="str">
        <f>IFERROR(VLOOKUP(H603,Lijsten!$H$1:$I$100,2,0),"")</f>
        <v/>
      </c>
      <c r="N603" s="89" t="str" cm="1">
        <f t="array" ref="N603">IFERROR(_xlfn.IFS(AND(LEFT(F603,6)="Arbeid",RIGHT(F603,3)&lt;&gt;"IKS"),IFERROR(VLOOKUP($G603,Tb_KostenTypen[],2,0),"tarief"),RIGHT(F603,3)="IKS","Uurtarief",LEFT(F603,6)="Arbeid","Uurtarief",AND(LEFT(F603,8)="Bijdrage",RIGHT(F603,15)="(vrijwilligers)"),"Vast tarief"),"")</f>
        <v/>
      </c>
      <c r="O603" s="90"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0"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1"/>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59"/>
      <c r="Z603" s="49"/>
      <c r="AA603" s="37" t="str" cm="1">
        <f t="array" ref="AA603">IFERROR(IF(INDEX(SubsidieTabel!$Q$1:$T$9,MATCH($F603,SubsidieTabel!$Q$1:$Q$9,0),IFERROR(MATCH(Methode_Keuze,SubsidieTabel!$Q$1:$T$1,0),2))&lt;&gt;1=TRUE,"ja",""),"")</f>
        <v/>
      </c>
    </row>
    <row r="604" spans="1:27" ht="15" customHeight="1" x14ac:dyDescent="0.25">
      <c r="A604" s="85"/>
      <c r="B604" s="217" t="str">
        <f>IF(A604&lt;&gt;"",_xlfn.MAXIFS($B$1:B603,$A$1:A603,A604)+1,"")</f>
        <v/>
      </c>
      <c r="C604" s="50"/>
      <c r="D604" s="50"/>
      <c r="E604" s="50"/>
      <c r="F604" s="50"/>
      <c r="G604" s="280"/>
      <c r="H604" s="293"/>
      <c r="I604" s="292"/>
      <c r="J604" s="292"/>
      <c r="K604" s="200"/>
      <c r="L604" s="200"/>
      <c r="M604" s="89" t="str">
        <f>IFERROR(VLOOKUP(H604,Lijsten!$H$1:$I$100,2,0),"")</f>
        <v/>
      </c>
      <c r="N604" s="89" t="str" cm="1">
        <f t="array" ref="N604">IFERROR(_xlfn.IFS(AND(LEFT(F604,6)="Arbeid",RIGHT(F604,3)&lt;&gt;"IKS"),IFERROR(VLOOKUP($G604,Tb_KostenTypen[],2,0),"tarief"),RIGHT(F604,3)="IKS","Uurtarief",LEFT(F604,6)="Arbeid","Uurtarief",AND(LEFT(F604,8)="Bijdrage",RIGHT(F604,15)="(vrijwilligers)"),"Vast tarief"),"")</f>
        <v/>
      </c>
      <c r="O604" s="90"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0"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1"/>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59"/>
      <c r="Z604" s="49"/>
      <c r="AA604" s="37" t="str" cm="1">
        <f t="array" ref="AA604">IFERROR(IF(INDEX(SubsidieTabel!$Q$1:$T$9,MATCH($F604,SubsidieTabel!$Q$1:$Q$9,0),IFERROR(MATCH(Methode_Keuze,SubsidieTabel!$Q$1:$T$1,0),2))&lt;&gt;1=TRUE,"ja",""),"")</f>
        <v/>
      </c>
    </row>
    <row r="605" spans="1:27" ht="15" customHeight="1" x14ac:dyDescent="0.25">
      <c r="A605" s="85"/>
      <c r="B605" s="217" t="str">
        <f>IF(A605&lt;&gt;"",_xlfn.MAXIFS($B$1:B604,$A$1:A604,A605)+1,"")</f>
        <v/>
      </c>
      <c r="C605" s="50"/>
      <c r="D605" s="50"/>
      <c r="E605" s="50"/>
      <c r="F605" s="50"/>
      <c r="G605" s="280"/>
      <c r="H605" s="293"/>
      <c r="I605" s="292"/>
      <c r="J605" s="292"/>
      <c r="K605" s="200"/>
      <c r="L605" s="200"/>
      <c r="M605" s="89" t="str">
        <f>IFERROR(VLOOKUP(H605,Lijsten!$H$1:$I$100,2,0),"")</f>
        <v/>
      </c>
      <c r="N605" s="89" t="str" cm="1">
        <f t="array" ref="N605">IFERROR(_xlfn.IFS(AND(LEFT(F605,6)="Arbeid",RIGHT(F605,3)&lt;&gt;"IKS"),IFERROR(VLOOKUP($G605,Tb_KostenTypen[],2,0),"tarief"),RIGHT(F605,3)="IKS","Uurtarief",LEFT(F605,6)="Arbeid","Uurtarief",AND(LEFT(F605,8)="Bijdrage",RIGHT(F605,15)="(vrijwilligers)"),"Vast tarief"),"")</f>
        <v/>
      </c>
      <c r="O605" s="90"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0"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1"/>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59"/>
      <c r="Z605" s="49"/>
      <c r="AA605" s="37" t="str" cm="1">
        <f t="array" ref="AA605">IFERROR(IF(INDEX(SubsidieTabel!$Q$1:$T$9,MATCH($F605,SubsidieTabel!$Q$1:$Q$9,0),IFERROR(MATCH(Methode_Keuze,SubsidieTabel!$Q$1:$T$1,0),2))&lt;&gt;1=TRUE,"ja",""),"")</f>
        <v/>
      </c>
    </row>
    <row r="606" spans="1:27" ht="15" customHeight="1" x14ac:dyDescent="0.25">
      <c r="A606" s="85"/>
      <c r="B606" s="217" t="str">
        <f>IF(A606&lt;&gt;"",_xlfn.MAXIFS($B$1:B605,$A$1:A605,A606)+1,"")</f>
        <v/>
      </c>
      <c r="C606" s="50"/>
      <c r="D606" s="50"/>
      <c r="E606" s="50"/>
      <c r="F606" s="50"/>
      <c r="G606" s="280"/>
      <c r="H606" s="293"/>
      <c r="I606" s="292"/>
      <c r="J606" s="292"/>
      <c r="K606" s="200"/>
      <c r="L606" s="200"/>
      <c r="M606" s="89" t="str">
        <f>IFERROR(VLOOKUP(H606,Lijsten!$H$1:$I$100,2,0),"")</f>
        <v/>
      </c>
      <c r="N606" s="89" t="str" cm="1">
        <f t="array" ref="N606">IFERROR(_xlfn.IFS(AND(LEFT(F606,6)="Arbeid",RIGHT(F606,3)&lt;&gt;"IKS"),IFERROR(VLOOKUP($G606,Tb_KostenTypen[],2,0),"tarief"),RIGHT(F606,3)="IKS","Uurtarief",LEFT(F606,6)="Arbeid","Uurtarief",AND(LEFT(F606,8)="Bijdrage",RIGHT(F606,15)="(vrijwilligers)"),"Vast tarief"),"")</f>
        <v/>
      </c>
      <c r="O606" s="90"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0"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1"/>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59"/>
      <c r="Z606" s="49"/>
      <c r="AA606" s="37" t="str" cm="1">
        <f t="array" ref="AA606">IFERROR(IF(INDEX(SubsidieTabel!$Q$1:$T$9,MATCH($F606,SubsidieTabel!$Q$1:$Q$9,0),IFERROR(MATCH(Methode_Keuze,SubsidieTabel!$Q$1:$T$1,0),2))&lt;&gt;1=TRUE,"ja",""),"")</f>
        <v/>
      </c>
    </row>
    <row r="607" spans="1:27" ht="15" customHeight="1" x14ac:dyDescent="0.25">
      <c r="A607" s="85"/>
      <c r="B607" s="217" t="str">
        <f>IF(A607&lt;&gt;"",_xlfn.MAXIFS($B$1:B606,$A$1:A606,A607)+1,"")</f>
        <v/>
      </c>
      <c r="C607" s="50"/>
      <c r="D607" s="50"/>
      <c r="E607" s="50"/>
      <c r="F607" s="50"/>
      <c r="G607" s="280"/>
      <c r="H607" s="293"/>
      <c r="I607" s="292"/>
      <c r="J607" s="292"/>
      <c r="K607" s="200"/>
      <c r="L607" s="200"/>
      <c r="M607" s="89" t="str">
        <f>IFERROR(VLOOKUP(H607,Lijsten!$H$1:$I$100,2,0),"")</f>
        <v/>
      </c>
      <c r="N607" s="89" t="str" cm="1">
        <f t="array" ref="N607">IFERROR(_xlfn.IFS(AND(LEFT(F607,6)="Arbeid",RIGHT(F607,3)&lt;&gt;"IKS"),IFERROR(VLOOKUP($G607,Tb_KostenTypen[],2,0),"tarief"),RIGHT(F607,3)="IKS","Uurtarief",LEFT(F607,6)="Arbeid","Uurtarief",AND(LEFT(F607,8)="Bijdrage",RIGHT(F607,15)="(vrijwilligers)"),"Vast tarief"),"")</f>
        <v/>
      </c>
      <c r="O607" s="90"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0"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1"/>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59"/>
      <c r="Z607" s="49"/>
      <c r="AA607" s="37" t="str" cm="1">
        <f t="array" ref="AA607">IFERROR(IF(INDEX(SubsidieTabel!$Q$1:$T$9,MATCH($F607,SubsidieTabel!$Q$1:$Q$9,0),IFERROR(MATCH(Methode_Keuze,SubsidieTabel!$Q$1:$T$1,0),2))&lt;&gt;1=TRUE,"ja",""),"")</f>
        <v/>
      </c>
    </row>
    <row r="608" spans="1:27" ht="15" customHeight="1" x14ac:dyDescent="0.25">
      <c r="A608" s="85"/>
      <c r="B608" s="217" t="str">
        <f>IF(A608&lt;&gt;"",_xlfn.MAXIFS($B$1:B607,$A$1:A607,A608)+1,"")</f>
        <v/>
      </c>
      <c r="C608" s="50"/>
      <c r="D608" s="50"/>
      <c r="E608" s="50"/>
      <c r="F608" s="50"/>
      <c r="G608" s="280"/>
      <c r="H608" s="293"/>
      <c r="I608" s="292"/>
      <c r="J608" s="292"/>
      <c r="K608" s="200"/>
      <c r="L608" s="200"/>
      <c r="M608" s="89" t="str">
        <f>IFERROR(VLOOKUP(H608,Lijsten!$H$1:$I$100,2,0),"")</f>
        <v/>
      </c>
      <c r="N608" s="89" t="str" cm="1">
        <f t="array" ref="N608">IFERROR(_xlfn.IFS(AND(LEFT(F608,6)="Arbeid",RIGHT(F608,3)&lt;&gt;"IKS"),IFERROR(VLOOKUP($G608,Tb_KostenTypen[],2,0),"tarief"),RIGHT(F608,3)="IKS","Uurtarief",LEFT(F608,6)="Arbeid","Uurtarief",AND(LEFT(F608,8)="Bijdrage",RIGHT(F608,15)="(vrijwilligers)"),"Vast tarief"),"")</f>
        <v/>
      </c>
      <c r="O608" s="90"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0"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1"/>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59"/>
      <c r="Z608" s="49"/>
      <c r="AA608" s="37" t="str" cm="1">
        <f t="array" ref="AA608">IFERROR(IF(INDEX(SubsidieTabel!$Q$1:$T$9,MATCH($F608,SubsidieTabel!$Q$1:$Q$9,0),IFERROR(MATCH(Methode_Keuze,SubsidieTabel!$Q$1:$T$1,0),2))&lt;&gt;1=TRUE,"ja",""),"")</f>
        <v/>
      </c>
    </row>
    <row r="609" spans="1:27" ht="15" customHeight="1" x14ac:dyDescent="0.25">
      <c r="A609" s="85"/>
      <c r="B609" s="217" t="str">
        <f>IF(A609&lt;&gt;"",_xlfn.MAXIFS($B$1:B608,$A$1:A608,A609)+1,"")</f>
        <v/>
      </c>
      <c r="C609" s="50"/>
      <c r="D609" s="50"/>
      <c r="E609" s="50"/>
      <c r="F609" s="50"/>
      <c r="G609" s="280"/>
      <c r="H609" s="293"/>
      <c r="I609" s="292"/>
      <c r="J609" s="292"/>
      <c r="K609" s="200"/>
      <c r="L609" s="200"/>
      <c r="M609" s="89" t="str">
        <f>IFERROR(VLOOKUP(H609,Lijsten!$H$1:$I$100,2,0),"")</f>
        <v/>
      </c>
      <c r="N609" s="89" t="str" cm="1">
        <f t="array" ref="N609">IFERROR(_xlfn.IFS(AND(LEFT(F609,6)="Arbeid",RIGHT(F609,3)&lt;&gt;"IKS"),IFERROR(VLOOKUP($G609,Tb_KostenTypen[],2,0),"tarief"),RIGHT(F609,3)="IKS","Uurtarief",LEFT(F609,6)="Arbeid","Uurtarief",AND(LEFT(F609,8)="Bijdrage",RIGHT(F609,15)="(vrijwilligers)"),"Vast tarief"),"")</f>
        <v/>
      </c>
      <c r="O609" s="90"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0"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1"/>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59"/>
      <c r="Z609" s="49"/>
      <c r="AA609" s="37" t="str" cm="1">
        <f t="array" ref="AA609">IFERROR(IF(INDEX(SubsidieTabel!$Q$1:$T$9,MATCH($F609,SubsidieTabel!$Q$1:$Q$9,0),IFERROR(MATCH(Methode_Keuze,SubsidieTabel!$Q$1:$T$1,0),2))&lt;&gt;1=TRUE,"ja",""),"")</f>
        <v/>
      </c>
    </row>
    <row r="610" spans="1:27" ht="15" customHeight="1" x14ac:dyDescent="0.25">
      <c r="A610" s="85"/>
      <c r="B610" s="217" t="str">
        <f>IF(A610&lt;&gt;"",_xlfn.MAXIFS($B$1:B609,$A$1:A609,A610)+1,"")</f>
        <v/>
      </c>
      <c r="C610" s="50"/>
      <c r="D610" s="50"/>
      <c r="E610" s="50"/>
      <c r="F610" s="50"/>
      <c r="G610" s="280"/>
      <c r="H610" s="293"/>
      <c r="I610" s="292"/>
      <c r="J610" s="292"/>
      <c r="K610" s="200"/>
      <c r="L610" s="200"/>
      <c r="M610" s="89" t="str">
        <f>IFERROR(VLOOKUP(H610,Lijsten!$H$1:$I$100,2,0),"")</f>
        <v/>
      </c>
      <c r="N610" s="89" t="str" cm="1">
        <f t="array" ref="N610">IFERROR(_xlfn.IFS(AND(LEFT(F610,6)="Arbeid",RIGHT(F610,3)&lt;&gt;"IKS"),IFERROR(VLOOKUP($G610,Tb_KostenTypen[],2,0),"tarief"),RIGHT(F610,3)="IKS","Uurtarief",LEFT(F610,6)="Arbeid","Uurtarief",AND(LEFT(F610,8)="Bijdrage",RIGHT(F610,15)="(vrijwilligers)"),"Vast tarief"),"")</f>
        <v/>
      </c>
      <c r="O610" s="90"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0"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1"/>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59"/>
      <c r="Z610" s="49"/>
      <c r="AA610" s="37" t="str" cm="1">
        <f t="array" ref="AA610">IFERROR(IF(INDEX(SubsidieTabel!$Q$1:$T$9,MATCH($F610,SubsidieTabel!$Q$1:$Q$9,0),IFERROR(MATCH(Methode_Keuze,SubsidieTabel!$Q$1:$T$1,0),2))&lt;&gt;1=TRUE,"ja",""),"")</f>
        <v/>
      </c>
    </row>
    <row r="611" spans="1:27" ht="15" customHeight="1" x14ac:dyDescent="0.25">
      <c r="A611" s="85"/>
      <c r="B611" s="217" t="str">
        <f>IF(A611&lt;&gt;"",_xlfn.MAXIFS($B$1:B610,$A$1:A610,A611)+1,"")</f>
        <v/>
      </c>
      <c r="C611" s="50"/>
      <c r="D611" s="50"/>
      <c r="E611" s="50"/>
      <c r="F611" s="50"/>
      <c r="G611" s="280"/>
      <c r="H611" s="293"/>
      <c r="I611" s="292"/>
      <c r="J611" s="292"/>
      <c r="K611" s="200"/>
      <c r="L611" s="200"/>
      <c r="M611" s="89" t="str">
        <f>IFERROR(VLOOKUP(H611,Lijsten!$H$1:$I$100,2,0),"")</f>
        <v/>
      </c>
      <c r="N611" s="89" t="str" cm="1">
        <f t="array" ref="N611">IFERROR(_xlfn.IFS(AND(LEFT(F611,6)="Arbeid",RIGHT(F611,3)&lt;&gt;"IKS"),IFERROR(VLOOKUP($G611,Tb_KostenTypen[],2,0),"tarief"),RIGHT(F611,3)="IKS","Uurtarief",LEFT(F611,6)="Arbeid","Uurtarief",AND(LEFT(F611,8)="Bijdrage",RIGHT(F611,15)="(vrijwilligers)"),"Vast tarief"),"")</f>
        <v/>
      </c>
      <c r="O611" s="90"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0"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1"/>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59"/>
      <c r="Z611" s="49"/>
      <c r="AA611" s="37" t="str" cm="1">
        <f t="array" ref="AA611">IFERROR(IF(INDEX(SubsidieTabel!$Q$1:$T$9,MATCH($F611,SubsidieTabel!$Q$1:$Q$9,0),IFERROR(MATCH(Methode_Keuze,SubsidieTabel!$Q$1:$T$1,0),2))&lt;&gt;1=TRUE,"ja",""),"")</f>
        <v/>
      </c>
    </row>
    <row r="612" spans="1:27" ht="15" customHeight="1" x14ac:dyDescent="0.25">
      <c r="A612" s="85"/>
      <c r="B612" s="217" t="str">
        <f>IF(A612&lt;&gt;"",_xlfn.MAXIFS($B$1:B611,$A$1:A611,A612)+1,"")</f>
        <v/>
      </c>
      <c r="C612" s="50"/>
      <c r="D612" s="50"/>
      <c r="E612" s="50"/>
      <c r="F612" s="50"/>
      <c r="G612" s="280"/>
      <c r="H612" s="293"/>
      <c r="I612" s="292"/>
      <c r="J612" s="292"/>
      <c r="K612" s="200"/>
      <c r="L612" s="200"/>
      <c r="M612" s="89" t="str">
        <f>IFERROR(VLOOKUP(H612,Lijsten!$H$1:$I$100,2,0),"")</f>
        <v/>
      </c>
      <c r="N612" s="89" t="str" cm="1">
        <f t="array" ref="N612">IFERROR(_xlfn.IFS(AND(LEFT(F612,6)="Arbeid",RIGHT(F612,3)&lt;&gt;"IKS"),IFERROR(VLOOKUP($G612,Tb_KostenTypen[],2,0),"tarief"),RIGHT(F612,3)="IKS","Uurtarief",LEFT(F612,6)="Arbeid","Uurtarief",AND(LEFT(F612,8)="Bijdrage",RIGHT(F612,15)="(vrijwilligers)"),"Vast tarief"),"")</f>
        <v/>
      </c>
      <c r="O612" s="90"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0"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1"/>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59"/>
      <c r="Z612" s="49"/>
      <c r="AA612" s="37" t="str" cm="1">
        <f t="array" ref="AA612">IFERROR(IF(INDEX(SubsidieTabel!$Q$1:$T$9,MATCH($F612,SubsidieTabel!$Q$1:$Q$9,0),IFERROR(MATCH(Methode_Keuze,SubsidieTabel!$Q$1:$T$1,0),2))&lt;&gt;1=TRUE,"ja",""),"")</f>
        <v/>
      </c>
    </row>
    <row r="613" spans="1:27" ht="15" customHeight="1" x14ac:dyDescent="0.25">
      <c r="A613" s="85"/>
      <c r="B613" s="217" t="str">
        <f>IF(A613&lt;&gt;"",_xlfn.MAXIFS($B$1:B612,$A$1:A612,A613)+1,"")</f>
        <v/>
      </c>
      <c r="C613" s="50"/>
      <c r="D613" s="50"/>
      <c r="E613" s="50"/>
      <c r="F613" s="50"/>
      <c r="G613" s="280"/>
      <c r="H613" s="293"/>
      <c r="I613" s="292"/>
      <c r="J613" s="292"/>
      <c r="K613" s="200"/>
      <c r="L613" s="200"/>
      <c r="M613" s="89" t="str">
        <f>IFERROR(VLOOKUP(H613,Lijsten!$H$1:$I$100,2,0),"")</f>
        <v/>
      </c>
      <c r="N613" s="89" t="str" cm="1">
        <f t="array" ref="N613">IFERROR(_xlfn.IFS(AND(LEFT(F613,6)="Arbeid",RIGHT(F613,3)&lt;&gt;"IKS"),IFERROR(VLOOKUP($G613,Tb_KostenTypen[],2,0),"tarief"),RIGHT(F613,3)="IKS","Uurtarief",LEFT(F613,6)="Arbeid","Uurtarief",AND(LEFT(F613,8)="Bijdrage",RIGHT(F613,15)="(vrijwilligers)"),"Vast tarief"),"")</f>
        <v/>
      </c>
      <c r="O613" s="90"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0"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1"/>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59"/>
      <c r="Z613" s="49"/>
      <c r="AA613" s="37" t="str" cm="1">
        <f t="array" ref="AA613">IFERROR(IF(INDEX(SubsidieTabel!$Q$1:$T$9,MATCH($F613,SubsidieTabel!$Q$1:$Q$9,0),IFERROR(MATCH(Methode_Keuze,SubsidieTabel!$Q$1:$T$1,0),2))&lt;&gt;1=TRUE,"ja",""),"")</f>
        <v/>
      </c>
    </row>
    <row r="614" spans="1:27" ht="15" customHeight="1" x14ac:dyDescent="0.25">
      <c r="A614" s="85"/>
      <c r="B614" s="217" t="str">
        <f>IF(A614&lt;&gt;"",_xlfn.MAXIFS($B$1:B613,$A$1:A613,A614)+1,"")</f>
        <v/>
      </c>
      <c r="C614" s="50"/>
      <c r="D614" s="50"/>
      <c r="E614" s="50"/>
      <c r="F614" s="50"/>
      <c r="G614" s="280"/>
      <c r="H614" s="293"/>
      <c r="I614" s="292"/>
      <c r="J614" s="292"/>
      <c r="K614" s="200"/>
      <c r="L614" s="200"/>
      <c r="M614" s="89" t="str">
        <f>IFERROR(VLOOKUP(H614,Lijsten!$H$1:$I$100,2,0),"")</f>
        <v/>
      </c>
      <c r="N614" s="89" t="str" cm="1">
        <f t="array" ref="N614">IFERROR(_xlfn.IFS(AND(LEFT(F614,6)="Arbeid",RIGHT(F614,3)&lt;&gt;"IKS"),IFERROR(VLOOKUP($G614,Tb_KostenTypen[],2,0),"tarief"),RIGHT(F614,3)="IKS","Uurtarief",LEFT(F614,6)="Arbeid","Uurtarief",AND(LEFT(F614,8)="Bijdrage",RIGHT(F614,15)="(vrijwilligers)"),"Vast tarief"),"")</f>
        <v/>
      </c>
      <c r="O614" s="90"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0"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1"/>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59"/>
      <c r="Z614" s="49"/>
      <c r="AA614" s="37" t="str" cm="1">
        <f t="array" ref="AA614">IFERROR(IF(INDEX(SubsidieTabel!$Q$1:$T$9,MATCH($F614,SubsidieTabel!$Q$1:$Q$9,0),IFERROR(MATCH(Methode_Keuze,SubsidieTabel!$Q$1:$T$1,0),2))&lt;&gt;1=TRUE,"ja",""),"")</f>
        <v/>
      </c>
    </row>
    <row r="615" spans="1:27" ht="15" customHeight="1" x14ac:dyDescent="0.25">
      <c r="A615" s="85"/>
      <c r="B615" s="217" t="str">
        <f>IF(A615&lt;&gt;"",_xlfn.MAXIFS($B$1:B614,$A$1:A614,A615)+1,"")</f>
        <v/>
      </c>
      <c r="C615" s="50"/>
      <c r="D615" s="50"/>
      <c r="E615" s="50"/>
      <c r="F615" s="50"/>
      <c r="G615" s="280"/>
      <c r="H615" s="293"/>
      <c r="I615" s="292"/>
      <c r="J615" s="292"/>
      <c r="K615" s="200"/>
      <c r="L615" s="200"/>
      <c r="M615" s="89" t="str">
        <f>IFERROR(VLOOKUP(H615,Lijsten!$H$1:$I$100,2,0),"")</f>
        <v/>
      </c>
      <c r="N615" s="89" t="str" cm="1">
        <f t="array" ref="N615">IFERROR(_xlfn.IFS(AND(LEFT(F615,6)="Arbeid",RIGHT(F615,3)&lt;&gt;"IKS"),IFERROR(VLOOKUP($G615,Tb_KostenTypen[],2,0),"tarief"),RIGHT(F615,3)="IKS","Uurtarief",LEFT(F615,6)="Arbeid","Uurtarief",AND(LEFT(F615,8)="Bijdrage",RIGHT(F615,15)="(vrijwilligers)"),"Vast tarief"),"")</f>
        <v/>
      </c>
      <c r="O615" s="90"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0"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1"/>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59"/>
      <c r="Z615" s="49"/>
      <c r="AA615" s="37" t="str" cm="1">
        <f t="array" ref="AA615">IFERROR(IF(INDEX(SubsidieTabel!$Q$1:$T$9,MATCH($F615,SubsidieTabel!$Q$1:$Q$9,0),IFERROR(MATCH(Methode_Keuze,SubsidieTabel!$Q$1:$T$1,0),2))&lt;&gt;1=TRUE,"ja",""),"")</f>
        <v/>
      </c>
    </row>
    <row r="616" spans="1:27" ht="15" customHeight="1" x14ac:dyDescent="0.25">
      <c r="A616" s="85"/>
      <c r="B616" s="217" t="str">
        <f>IF(A616&lt;&gt;"",_xlfn.MAXIFS($B$1:B615,$A$1:A615,A616)+1,"")</f>
        <v/>
      </c>
      <c r="C616" s="50"/>
      <c r="D616" s="50"/>
      <c r="E616" s="50"/>
      <c r="F616" s="50"/>
      <c r="G616" s="280"/>
      <c r="H616" s="293"/>
      <c r="I616" s="292"/>
      <c r="J616" s="292"/>
      <c r="K616" s="200"/>
      <c r="L616" s="200"/>
      <c r="M616" s="89" t="str">
        <f>IFERROR(VLOOKUP(H616,Lijsten!$H$1:$I$100,2,0),"")</f>
        <v/>
      </c>
      <c r="N616" s="89" t="str" cm="1">
        <f t="array" ref="N616">IFERROR(_xlfn.IFS(AND(LEFT(F616,6)="Arbeid",RIGHT(F616,3)&lt;&gt;"IKS"),IFERROR(VLOOKUP($G616,Tb_KostenTypen[],2,0),"tarief"),RIGHT(F616,3)="IKS","Uurtarief",LEFT(F616,6)="Arbeid","Uurtarief",AND(LEFT(F616,8)="Bijdrage",RIGHT(F616,15)="(vrijwilligers)"),"Vast tarief"),"")</f>
        <v/>
      </c>
      <c r="O616" s="90"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0"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1"/>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59"/>
      <c r="Z616" s="49"/>
      <c r="AA616" s="37" t="str" cm="1">
        <f t="array" ref="AA616">IFERROR(IF(INDEX(SubsidieTabel!$Q$1:$T$9,MATCH($F616,SubsidieTabel!$Q$1:$Q$9,0),IFERROR(MATCH(Methode_Keuze,SubsidieTabel!$Q$1:$T$1,0),2))&lt;&gt;1=TRUE,"ja",""),"")</f>
        <v/>
      </c>
    </row>
    <row r="617" spans="1:27" ht="15" customHeight="1" x14ac:dyDescent="0.25">
      <c r="A617" s="85"/>
      <c r="B617" s="217" t="str">
        <f>IF(A617&lt;&gt;"",_xlfn.MAXIFS($B$1:B616,$A$1:A616,A617)+1,"")</f>
        <v/>
      </c>
      <c r="C617" s="50"/>
      <c r="D617" s="50"/>
      <c r="E617" s="50"/>
      <c r="F617" s="50"/>
      <c r="G617" s="280"/>
      <c r="H617" s="293"/>
      <c r="I617" s="292"/>
      <c r="J617" s="292"/>
      <c r="K617" s="200"/>
      <c r="L617" s="200"/>
      <c r="M617" s="89" t="str">
        <f>IFERROR(VLOOKUP(H617,Lijsten!$H$1:$I$100,2,0),"")</f>
        <v/>
      </c>
      <c r="N617" s="89" t="str" cm="1">
        <f t="array" ref="N617">IFERROR(_xlfn.IFS(AND(LEFT(F617,6)="Arbeid",RIGHT(F617,3)&lt;&gt;"IKS"),IFERROR(VLOOKUP($G617,Tb_KostenTypen[],2,0),"tarief"),RIGHT(F617,3)="IKS","Uurtarief",LEFT(F617,6)="Arbeid","Uurtarief",AND(LEFT(F617,8)="Bijdrage",RIGHT(F617,15)="(vrijwilligers)"),"Vast tarief"),"")</f>
        <v/>
      </c>
      <c r="O617" s="90"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0"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1"/>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59"/>
      <c r="Z617" s="49"/>
      <c r="AA617" s="37" t="str" cm="1">
        <f t="array" ref="AA617">IFERROR(IF(INDEX(SubsidieTabel!$Q$1:$T$9,MATCH($F617,SubsidieTabel!$Q$1:$Q$9,0),IFERROR(MATCH(Methode_Keuze,SubsidieTabel!$Q$1:$T$1,0),2))&lt;&gt;1=TRUE,"ja",""),"")</f>
        <v/>
      </c>
    </row>
    <row r="618" spans="1:27" ht="15" customHeight="1" x14ac:dyDescent="0.25">
      <c r="A618" s="85"/>
      <c r="B618" s="217" t="str">
        <f>IF(A618&lt;&gt;"",_xlfn.MAXIFS($B$1:B617,$A$1:A617,A618)+1,"")</f>
        <v/>
      </c>
      <c r="C618" s="50"/>
      <c r="D618" s="50"/>
      <c r="E618" s="50"/>
      <c r="F618" s="50"/>
      <c r="G618" s="280"/>
      <c r="H618" s="293"/>
      <c r="I618" s="292"/>
      <c r="J618" s="292"/>
      <c r="K618" s="200"/>
      <c r="L618" s="200"/>
      <c r="M618" s="89" t="str">
        <f>IFERROR(VLOOKUP(H618,Lijsten!$H$1:$I$100,2,0),"")</f>
        <v/>
      </c>
      <c r="N618" s="89" t="str" cm="1">
        <f t="array" ref="N618">IFERROR(_xlfn.IFS(AND(LEFT(F618,6)="Arbeid",RIGHT(F618,3)&lt;&gt;"IKS"),IFERROR(VLOOKUP($G618,Tb_KostenTypen[],2,0),"tarief"),RIGHT(F618,3)="IKS","Uurtarief",LEFT(F618,6)="Arbeid","Uurtarief",AND(LEFT(F618,8)="Bijdrage",RIGHT(F618,15)="(vrijwilligers)"),"Vast tarief"),"")</f>
        <v/>
      </c>
      <c r="O618" s="90"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0"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1"/>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59"/>
      <c r="Z618" s="49"/>
      <c r="AA618" s="37" t="str" cm="1">
        <f t="array" ref="AA618">IFERROR(IF(INDEX(SubsidieTabel!$Q$1:$T$9,MATCH($F618,SubsidieTabel!$Q$1:$Q$9,0),IFERROR(MATCH(Methode_Keuze,SubsidieTabel!$Q$1:$T$1,0),2))&lt;&gt;1=TRUE,"ja",""),"")</f>
        <v/>
      </c>
    </row>
    <row r="619" spans="1:27" ht="15" customHeight="1" x14ac:dyDescent="0.25">
      <c r="A619" s="85"/>
      <c r="B619" s="217" t="str">
        <f>IF(A619&lt;&gt;"",_xlfn.MAXIFS($B$1:B618,$A$1:A618,A619)+1,"")</f>
        <v/>
      </c>
      <c r="C619" s="50"/>
      <c r="D619" s="50"/>
      <c r="E619" s="50"/>
      <c r="F619" s="50"/>
      <c r="G619" s="280"/>
      <c r="H619" s="293"/>
      <c r="I619" s="292"/>
      <c r="J619" s="292"/>
      <c r="K619" s="200"/>
      <c r="L619" s="200"/>
      <c r="M619" s="89" t="str">
        <f>IFERROR(VLOOKUP(H619,Lijsten!$H$1:$I$100,2,0),"")</f>
        <v/>
      </c>
      <c r="N619" s="89" t="str" cm="1">
        <f t="array" ref="N619">IFERROR(_xlfn.IFS(AND(LEFT(F619,6)="Arbeid",RIGHT(F619,3)&lt;&gt;"IKS"),IFERROR(VLOOKUP($G619,Tb_KostenTypen[],2,0),"tarief"),RIGHT(F619,3)="IKS","Uurtarief",LEFT(F619,6)="Arbeid","Uurtarief",AND(LEFT(F619,8)="Bijdrage",RIGHT(F619,15)="(vrijwilligers)"),"Vast tarief"),"")</f>
        <v/>
      </c>
      <c r="O619" s="90"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0"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1"/>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59"/>
      <c r="Z619" s="49"/>
      <c r="AA619" s="37" t="str" cm="1">
        <f t="array" ref="AA619">IFERROR(IF(INDEX(SubsidieTabel!$Q$1:$T$9,MATCH($F619,SubsidieTabel!$Q$1:$Q$9,0),IFERROR(MATCH(Methode_Keuze,SubsidieTabel!$Q$1:$T$1,0),2))&lt;&gt;1=TRUE,"ja",""),"")</f>
        <v/>
      </c>
    </row>
    <row r="620" spans="1:27" ht="15" customHeight="1" x14ac:dyDescent="0.25">
      <c r="A620" s="85"/>
      <c r="B620" s="217" t="str">
        <f>IF(A620&lt;&gt;"",_xlfn.MAXIFS($B$1:B619,$A$1:A619,A620)+1,"")</f>
        <v/>
      </c>
      <c r="C620" s="50"/>
      <c r="D620" s="50"/>
      <c r="E620" s="50"/>
      <c r="F620" s="50"/>
      <c r="G620" s="280"/>
      <c r="H620" s="293"/>
      <c r="I620" s="292"/>
      <c r="J620" s="292"/>
      <c r="K620" s="200"/>
      <c r="L620" s="200"/>
      <c r="M620" s="89" t="str">
        <f>IFERROR(VLOOKUP(H620,Lijsten!$H$1:$I$100,2,0),"")</f>
        <v/>
      </c>
      <c r="N620" s="89" t="str" cm="1">
        <f t="array" ref="N620">IFERROR(_xlfn.IFS(AND(LEFT(F620,6)="Arbeid",RIGHT(F620,3)&lt;&gt;"IKS"),IFERROR(VLOOKUP($G620,Tb_KostenTypen[],2,0),"tarief"),RIGHT(F620,3)="IKS","Uurtarief",LEFT(F620,6)="Arbeid","Uurtarief",AND(LEFT(F620,8)="Bijdrage",RIGHT(F620,15)="(vrijwilligers)"),"Vast tarief"),"")</f>
        <v/>
      </c>
      <c r="O620" s="90"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0"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1"/>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59"/>
      <c r="Z620" s="49"/>
      <c r="AA620" s="37" t="str" cm="1">
        <f t="array" ref="AA620">IFERROR(IF(INDEX(SubsidieTabel!$Q$1:$T$9,MATCH($F620,SubsidieTabel!$Q$1:$Q$9,0),IFERROR(MATCH(Methode_Keuze,SubsidieTabel!$Q$1:$T$1,0),2))&lt;&gt;1=TRUE,"ja",""),"")</f>
        <v/>
      </c>
    </row>
    <row r="621" spans="1:27" ht="15" customHeight="1" x14ac:dyDescent="0.25">
      <c r="A621" s="85"/>
      <c r="B621" s="217" t="str">
        <f>IF(A621&lt;&gt;"",_xlfn.MAXIFS($B$1:B620,$A$1:A620,A621)+1,"")</f>
        <v/>
      </c>
      <c r="C621" s="50"/>
      <c r="D621" s="50"/>
      <c r="E621" s="50"/>
      <c r="F621" s="50"/>
      <c r="G621" s="280"/>
      <c r="H621" s="293"/>
      <c r="I621" s="292"/>
      <c r="J621" s="292"/>
      <c r="K621" s="200"/>
      <c r="L621" s="200"/>
      <c r="M621" s="89" t="str">
        <f>IFERROR(VLOOKUP(H621,Lijsten!$H$1:$I$100,2,0),"")</f>
        <v/>
      </c>
      <c r="N621" s="89" t="str" cm="1">
        <f t="array" ref="N621">IFERROR(_xlfn.IFS(AND(LEFT(F621,6)="Arbeid",RIGHT(F621,3)&lt;&gt;"IKS"),IFERROR(VLOOKUP($G621,Tb_KostenTypen[],2,0),"tarief"),RIGHT(F621,3)="IKS","Uurtarief",LEFT(F621,6)="Arbeid","Uurtarief",AND(LEFT(F621,8)="Bijdrage",RIGHT(F621,15)="(vrijwilligers)"),"Vast tarief"),"")</f>
        <v/>
      </c>
      <c r="O621" s="90"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0"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1"/>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59"/>
      <c r="Z621" s="49"/>
      <c r="AA621" s="37" t="str" cm="1">
        <f t="array" ref="AA621">IFERROR(IF(INDEX(SubsidieTabel!$Q$1:$T$9,MATCH($F621,SubsidieTabel!$Q$1:$Q$9,0),IFERROR(MATCH(Methode_Keuze,SubsidieTabel!$Q$1:$T$1,0),2))&lt;&gt;1=TRUE,"ja",""),"")</f>
        <v/>
      </c>
    </row>
    <row r="622" spans="1:27" ht="15" customHeight="1" x14ac:dyDescent="0.25">
      <c r="A622" s="85"/>
      <c r="B622" s="217" t="str">
        <f>IF(A622&lt;&gt;"",_xlfn.MAXIFS($B$1:B621,$A$1:A621,A622)+1,"")</f>
        <v/>
      </c>
      <c r="C622" s="50"/>
      <c r="D622" s="50"/>
      <c r="E622" s="50"/>
      <c r="F622" s="50"/>
      <c r="G622" s="280"/>
      <c r="H622" s="293"/>
      <c r="I622" s="292"/>
      <c r="J622" s="292"/>
      <c r="K622" s="200"/>
      <c r="L622" s="200"/>
      <c r="M622" s="89" t="str">
        <f>IFERROR(VLOOKUP(H622,Lijsten!$H$1:$I$100,2,0),"")</f>
        <v/>
      </c>
      <c r="N622" s="89" t="str" cm="1">
        <f t="array" ref="N622">IFERROR(_xlfn.IFS(AND(LEFT(F622,6)="Arbeid",RIGHT(F622,3)&lt;&gt;"IKS"),IFERROR(VLOOKUP($G622,Tb_KostenTypen[],2,0),"tarief"),RIGHT(F622,3)="IKS","Uurtarief",LEFT(F622,6)="Arbeid","Uurtarief",AND(LEFT(F622,8)="Bijdrage",RIGHT(F622,15)="(vrijwilligers)"),"Vast tarief"),"")</f>
        <v/>
      </c>
      <c r="O622" s="90"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0"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1"/>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59"/>
      <c r="Z622" s="49"/>
      <c r="AA622" s="37" t="str" cm="1">
        <f t="array" ref="AA622">IFERROR(IF(INDEX(SubsidieTabel!$Q$1:$T$9,MATCH($F622,SubsidieTabel!$Q$1:$Q$9,0),IFERROR(MATCH(Methode_Keuze,SubsidieTabel!$Q$1:$T$1,0),2))&lt;&gt;1=TRUE,"ja",""),"")</f>
        <v/>
      </c>
    </row>
    <row r="623" spans="1:27" ht="15" customHeight="1" x14ac:dyDescent="0.25">
      <c r="A623" s="85"/>
      <c r="B623" s="217" t="str">
        <f>IF(A623&lt;&gt;"",_xlfn.MAXIFS($B$1:B622,$A$1:A622,A623)+1,"")</f>
        <v/>
      </c>
      <c r="C623" s="50"/>
      <c r="D623" s="50"/>
      <c r="E623" s="50"/>
      <c r="F623" s="50"/>
      <c r="G623" s="280"/>
      <c r="H623" s="293"/>
      <c r="I623" s="292"/>
      <c r="J623" s="292"/>
      <c r="K623" s="200"/>
      <c r="L623" s="200"/>
      <c r="M623" s="89" t="str">
        <f>IFERROR(VLOOKUP(H623,Lijsten!$H$1:$I$100,2,0),"")</f>
        <v/>
      </c>
      <c r="N623" s="89" t="str" cm="1">
        <f t="array" ref="N623">IFERROR(_xlfn.IFS(AND(LEFT(F623,6)="Arbeid",RIGHT(F623,3)&lt;&gt;"IKS"),IFERROR(VLOOKUP($G623,Tb_KostenTypen[],2,0),"tarief"),RIGHT(F623,3)="IKS","Uurtarief",LEFT(F623,6)="Arbeid","Uurtarief",AND(LEFT(F623,8)="Bijdrage",RIGHT(F623,15)="(vrijwilligers)"),"Vast tarief"),"")</f>
        <v/>
      </c>
      <c r="O623" s="90"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0"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1"/>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59"/>
      <c r="Z623" s="49"/>
      <c r="AA623" s="37" t="str" cm="1">
        <f t="array" ref="AA623">IFERROR(IF(INDEX(SubsidieTabel!$Q$1:$T$9,MATCH($F623,SubsidieTabel!$Q$1:$Q$9,0),IFERROR(MATCH(Methode_Keuze,SubsidieTabel!$Q$1:$T$1,0),2))&lt;&gt;1=TRUE,"ja",""),"")</f>
        <v/>
      </c>
    </row>
    <row r="624" spans="1:27" ht="15" customHeight="1" x14ac:dyDescent="0.25">
      <c r="A624" s="85"/>
      <c r="B624" s="217" t="str">
        <f>IF(A624&lt;&gt;"",_xlfn.MAXIFS($B$1:B623,$A$1:A623,A624)+1,"")</f>
        <v/>
      </c>
      <c r="C624" s="50"/>
      <c r="D624" s="50"/>
      <c r="E624" s="50"/>
      <c r="F624" s="50"/>
      <c r="G624" s="280"/>
      <c r="H624" s="293"/>
      <c r="I624" s="292"/>
      <c r="J624" s="292"/>
      <c r="K624" s="200"/>
      <c r="L624" s="200"/>
      <c r="M624" s="89" t="str">
        <f>IFERROR(VLOOKUP(H624,Lijsten!$H$1:$I$100,2,0),"")</f>
        <v/>
      </c>
      <c r="N624" s="89" t="str" cm="1">
        <f t="array" ref="N624">IFERROR(_xlfn.IFS(AND(LEFT(F624,6)="Arbeid",RIGHT(F624,3)&lt;&gt;"IKS"),IFERROR(VLOOKUP($G624,Tb_KostenTypen[],2,0),"tarief"),RIGHT(F624,3)="IKS","Uurtarief",LEFT(F624,6)="Arbeid","Uurtarief",AND(LEFT(F624,8)="Bijdrage",RIGHT(F624,15)="(vrijwilligers)"),"Vast tarief"),"")</f>
        <v/>
      </c>
      <c r="O624" s="90"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0"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1"/>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59"/>
      <c r="Z624" s="49"/>
      <c r="AA624" s="37" t="str" cm="1">
        <f t="array" ref="AA624">IFERROR(IF(INDEX(SubsidieTabel!$Q$1:$T$9,MATCH($F624,SubsidieTabel!$Q$1:$Q$9,0),IFERROR(MATCH(Methode_Keuze,SubsidieTabel!$Q$1:$T$1,0),2))&lt;&gt;1=TRUE,"ja",""),"")</f>
        <v/>
      </c>
    </row>
    <row r="625" spans="1:27" ht="15" customHeight="1" x14ac:dyDescent="0.25">
      <c r="A625" s="85"/>
      <c r="B625" s="217" t="str">
        <f>IF(A625&lt;&gt;"",_xlfn.MAXIFS($B$1:B624,$A$1:A624,A625)+1,"")</f>
        <v/>
      </c>
      <c r="C625" s="50"/>
      <c r="D625" s="50"/>
      <c r="E625" s="50"/>
      <c r="F625" s="50"/>
      <c r="G625" s="280"/>
      <c r="H625" s="293"/>
      <c r="I625" s="292"/>
      <c r="J625" s="292"/>
      <c r="K625" s="200"/>
      <c r="L625" s="200"/>
      <c r="M625" s="89" t="str">
        <f>IFERROR(VLOOKUP(H625,Lijsten!$H$1:$I$100,2,0),"")</f>
        <v/>
      </c>
      <c r="N625" s="89" t="str" cm="1">
        <f t="array" ref="N625">IFERROR(_xlfn.IFS(AND(LEFT(F625,6)="Arbeid",RIGHT(F625,3)&lt;&gt;"IKS"),IFERROR(VLOOKUP($G625,Tb_KostenTypen[],2,0),"tarief"),RIGHT(F625,3)="IKS","Uurtarief",LEFT(F625,6)="Arbeid","Uurtarief",AND(LEFT(F625,8)="Bijdrage",RIGHT(F625,15)="(vrijwilligers)"),"Vast tarief"),"")</f>
        <v/>
      </c>
      <c r="O625" s="90"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0"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1"/>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59"/>
      <c r="Z625" s="49"/>
      <c r="AA625" s="37" t="str" cm="1">
        <f t="array" ref="AA625">IFERROR(IF(INDEX(SubsidieTabel!$Q$1:$T$9,MATCH($F625,SubsidieTabel!$Q$1:$Q$9,0),IFERROR(MATCH(Methode_Keuze,SubsidieTabel!$Q$1:$T$1,0),2))&lt;&gt;1=TRUE,"ja",""),"")</f>
        <v/>
      </c>
    </row>
    <row r="626" spans="1:27" ht="15" customHeight="1" x14ac:dyDescent="0.25">
      <c r="A626" s="85"/>
      <c r="B626" s="217" t="str">
        <f>IF(A626&lt;&gt;"",_xlfn.MAXIFS($B$1:B625,$A$1:A625,A626)+1,"")</f>
        <v/>
      </c>
      <c r="C626" s="50"/>
      <c r="D626" s="50"/>
      <c r="E626" s="50"/>
      <c r="F626" s="50"/>
      <c r="G626" s="280"/>
      <c r="H626" s="293"/>
      <c r="I626" s="292"/>
      <c r="J626" s="292"/>
      <c r="K626" s="200"/>
      <c r="L626" s="200"/>
      <c r="M626" s="89" t="str">
        <f>IFERROR(VLOOKUP(H626,Lijsten!$H$1:$I$100,2,0),"")</f>
        <v/>
      </c>
      <c r="N626" s="89" t="str" cm="1">
        <f t="array" ref="N626">IFERROR(_xlfn.IFS(AND(LEFT(F626,6)="Arbeid",RIGHT(F626,3)&lt;&gt;"IKS"),IFERROR(VLOOKUP($G626,Tb_KostenTypen[],2,0),"tarief"),RIGHT(F626,3)="IKS","Uurtarief",LEFT(F626,6)="Arbeid","Uurtarief",AND(LEFT(F626,8)="Bijdrage",RIGHT(F626,15)="(vrijwilligers)"),"Vast tarief"),"")</f>
        <v/>
      </c>
      <c r="O626" s="90"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0"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1"/>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59"/>
      <c r="Z626" s="49"/>
      <c r="AA626" s="37" t="str" cm="1">
        <f t="array" ref="AA626">IFERROR(IF(INDEX(SubsidieTabel!$Q$1:$T$9,MATCH($F626,SubsidieTabel!$Q$1:$Q$9,0),IFERROR(MATCH(Methode_Keuze,SubsidieTabel!$Q$1:$T$1,0),2))&lt;&gt;1=TRUE,"ja",""),"")</f>
        <v/>
      </c>
    </row>
    <row r="627" spans="1:27" ht="15" customHeight="1" x14ac:dyDescent="0.25">
      <c r="A627" s="85"/>
      <c r="B627" s="217" t="str">
        <f>IF(A627&lt;&gt;"",_xlfn.MAXIFS($B$1:B626,$A$1:A626,A627)+1,"")</f>
        <v/>
      </c>
      <c r="C627" s="50"/>
      <c r="D627" s="50"/>
      <c r="E627" s="50"/>
      <c r="F627" s="50"/>
      <c r="G627" s="280"/>
      <c r="H627" s="293"/>
      <c r="I627" s="292"/>
      <c r="J627" s="292"/>
      <c r="K627" s="200"/>
      <c r="L627" s="200"/>
      <c r="M627" s="89" t="str">
        <f>IFERROR(VLOOKUP(H627,Lijsten!$H$1:$I$100,2,0),"")</f>
        <v/>
      </c>
      <c r="N627" s="89" t="str" cm="1">
        <f t="array" ref="N627">IFERROR(_xlfn.IFS(AND(LEFT(F627,6)="Arbeid",RIGHT(F627,3)&lt;&gt;"IKS"),IFERROR(VLOOKUP($G627,Tb_KostenTypen[],2,0),"tarief"),RIGHT(F627,3)="IKS","Uurtarief",LEFT(F627,6)="Arbeid","Uurtarief",AND(LEFT(F627,8)="Bijdrage",RIGHT(F627,15)="(vrijwilligers)"),"Vast tarief"),"")</f>
        <v/>
      </c>
      <c r="O627" s="90"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0"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1"/>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59"/>
      <c r="Z627" s="49"/>
      <c r="AA627" s="37" t="str" cm="1">
        <f t="array" ref="AA627">IFERROR(IF(INDEX(SubsidieTabel!$Q$1:$T$9,MATCH($F627,SubsidieTabel!$Q$1:$Q$9,0),IFERROR(MATCH(Methode_Keuze,SubsidieTabel!$Q$1:$T$1,0),2))&lt;&gt;1=TRUE,"ja",""),"")</f>
        <v/>
      </c>
    </row>
    <row r="628" spans="1:27" ht="15" customHeight="1" x14ac:dyDescent="0.25">
      <c r="A628" s="85"/>
      <c r="B628" s="217" t="str">
        <f>IF(A628&lt;&gt;"",_xlfn.MAXIFS($B$1:B627,$A$1:A627,A628)+1,"")</f>
        <v/>
      </c>
      <c r="C628" s="50"/>
      <c r="D628" s="50"/>
      <c r="E628" s="50"/>
      <c r="F628" s="50"/>
      <c r="G628" s="280"/>
      <c r="H628" s="293"/>
      <c r="I628" s="292"/>
      <c r="J628" s="292"/>
      <c r="K628" s="200"/>
      <c r="L628" s="200"/>
      <c r="M628" s="89" t="str">
        <f>IFERROR(VLOOKUP(H628,Lijsten!$H$1:$I$100,2,0),"")</f>
        <v/>
      </c>
      <c r="N628" s="89" t="str" cm="1">
        <f t="array" ref="N628">IFERROR(_xlfn.IFS(AND(LEFT(F628,6)="Arbeid",RIGHT(F628,3)&lt;&gt;"IKS"),IFERROR(VLOOKUP($G628,Tb_KostenTypen[],2,0),"tarief"),RIGHT(F628,3)="IKS","Uurtarief",LEFT(F628,6)="Arbeid","Uurtarief",AND(LEFT(F628,8)="Bijdrage",RIGHT(F628,15)="(vrijwilligers)"),"Vast tarief"),"")</f>
        <v/>
      </c>
      <c r="O628" s="90"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0"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1"/>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59"/>
      <c r="Z628" s="49"/>
      <c r="AA628" s="37" t="str" cm="1">
        <f t="array" ref="AA628">IFERROR(IF(INDEX(SubsidieTabel!$Q$1:$T$9,MATCH($F628,SubsidieTabel!$Q$1:$Q$9,0),IFERROR(MATCH(Methode_Keuze,SubsidieTabel!$Q$1:$T$1,0),2))&lt;&gt;1=TRUE,"ja",""),"")</f>
        <v/>
      </c>
    </row>
    <row r="629" spans="1:27" ht="15" customHeight="1" x14ac:dyDescent="0.25">
      <c r="A629" s="85"/>
      <c r="B629" s="217" t="str">
        <f>IF(A629&lt;&gt;"",_xlfn.MAXIFS($B$1:B628,$A$1:A628,A629)+1,"")</f>
        <v/>
      </c>
      <c r="C629" s="50"/>
      <c r="D629" s="50"/>
      <c r="E629" s="50"/>
      <c r="F629" s="50"/>
      <c r="G629" s="280"/>
      <c r="H629" s="293"/>
      <c r="I629" s="292"/>
      <c r="J629" s="292"/>
      <c r="K629" s="200"/>
      <c r="L629" s="200"/>
      <c r="M629" s="89" t="str">
        <f>IFERROR(VLOOKUP(H629,Lijsten!$H$1:$I$100,2,0),"")</f>
        <v/>
      </c>
      <c r="N629" s="89" t="str" cm="1">
        <f t="array" ref="N629">IFERROR(_xlfn.IFS(AND(LEFT(F629,6)="Arbeid",RIGHT(F629,3)&lt;&gt;"IKS"),IFERROR(VLOOKUP($G629,Tb_KostenTypen[],2,0),"tarief"),RIGHT(F629,3)="IKS","Uurtarief",LEFT(F629,6)="Arbeid","Uurtarief",AND(LEFT(F629,8)="Bijdrage",RIGHT(F629,15)="(vrijwilligers)"),"Vast tarief"),"")</f>
        <v/>
      </c>
      <c r="O629" s="90"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0"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1"/>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59"/>
      <c r="Z629" s="49"/>
      <c r="AA629" s="37" t="str" cm="1">
        <f t="array" ref="AA629">IFERROR(IF(INDEX(SubsidieTabel!$Q$1:$T$9,MATCH($F629,SubsidieTabel!$Q$1:$Q$9,0),IFERROR(MATCH(Methode_Keuze,SubsidieTabel!$Q$1:$T$1,0),2))&lt;&gt;1=TRUE,"ja",""),"")</f>
        <v/>
      </c>
    </row>
    <row r="630" spans="1:27" ht="15" customHeight="1" x14ac:dyDescent="0.25">
      <c r="A630" s="85"/>
      <c r="B630" s="217" t="str">
        <f>IF(A630&lt;&gt;"",_xlfn.MAXIFS($B$1:B629,$A$1:A629,A630)+1,"")</f>
        <v/>
      </c>
      <c r="C630" s="50"/>
      <c r="D630" s="50"/>
      <c r="E630" s="50"/>
      <c r="F630" s="50"/>
      <c r="G630" s="280"/>
      <c r="H630" s="293"/>
      <c r="I630" s="292"/>
      <c r="J630" s="292"/>
      <c r="K630" s="200"/>
      <c r="L630" s="200"/>
      <c r="M630" s="89" t="str">
        <f>IFERROR(VLOOKUP(H630,Lijsten!$H$1:$I$100,2,0),"")</f>
        <v/>
      </c>
      <c r="N630" s="89" t="str" cm="1">
        <f t="array" ref="N630">IFERROR(_xlfn.IFS(AND(LEFT(F630,6)="Arbeid",RIGHT(F630,3)&lt;&gt;"IKS"),IFERROR(VLOOKUP($G630,Tb_KostenTypen[],2,0),"tarief"),RIGHT(F630,3)="IKS","Uurtarief",LEFT(F630,6)="Arbeid","Uurtarief",AND(LEFT(F630,8)="Bijdrage",RIGHT(F630,15)="(vrijwilligers)"),"Vast tarief"),"")</f>
        <v/>
      </c>
      <c r="O630" s="90"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0"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1"/>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59"/>
      <c r="Z630" s="49"/>
      <c r="AA630" s="37" t="str" cm="1">
        <f t="array" ref="AA630">IFERROR(IF(INDEX(SubsidieTabel!$Q$1:$T$9,MATCH($F630,SubsidieTabel!$Q$1:$Q$9,0),IFERROR(MATCH(Methode_Keuze,SubsidieTabel!$Q$1:$T$1,0),2))&lt;&gt;1=TRUE,"ja",""),"")</f>
        <v/>
      </c>
    </row>
    <row r="631" spans="1:27" ht="15" customHeight="1" x14ac:dyDescent="0.25">
      <c r="A631" s="85"/>
      <c r="B631" s="217" t="str">
        <f>IF(A631&lt;&gt;"",_xlfn.MAXIFS($B$1:B630,$A$1:A630,A631)+1,"")</f>
        <v/>
      </c>
      <c r="C631" s="50"/>
      <c r="D631" s="50"/>
      <c r="E631" s="50"/>
      <c r="F631" s="50"/>
      <c r="G631" s="280"/>
      <c r="H631" s="293"/>
      <c r="I631" s="292"/>
      <c r="J631" s="292"/>
      <c r="K631" s="200"/>
      <c r="L631" s="200"/>
      <c r="M631" s="89" t="str">
        <f>IFERROR(VLOOKUP(H631,Lijsten!$H$1:$I$100,2,0),"")</f>
        <v/>
      </c>
      <c r="N631" s="89" t="str" cm="1">
        <f t="array" ref="N631">IFERROR(_xlfn.IFS(AND(LEFT(F631,6)="Arbeid",RIGHT(F631,3)&lt;&gt;"IKS"),IFERROR(VLOOKUP($G631,Tb_KostenTypen[],2,0),"tarief"),RIGHT(F631,3)="IKS","Uurtarief",LEFT(F631,6)="Arbeid","Uurtarief",AND(LEFT(F631,8)="Bijdrage",RIGHT(F631,15)="(vrijwilligers)"),"Vast tarief"),"")</f>
        <v/>
      </c>
      <c r="O631" s="90"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0"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1"/>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59"/>
      <c r="Z631" s="49"/>
      <c r="AA631" s="37" t="str" cm="1">
        <f t="array" ref="AA631">IFERROR(IF(INDEX(SubsidieTabel!$Q$1:$T$9,MATCH($F631,SubsidieTabel!$Q$1:$Q$9,0),IFERROR(MATCH(Methode_Keuze,SubsidieTabel!$Q$1:$T$1,0),2))&lt;&gt;1=TRUE,"ja",""),"")</f>
        <v/>
      </c>
    </row>
    <row r="632" spans="1:27" ht="15" customHeight="1" x14ac:dyDescent="0.25">
      <c r="A632" s="85"/>
      <c r="B632" s="217" t="str">
        <f>IF(A632&lt;&gt;"",_xlfn.MAXIFS($B$1:B631,$A$1:A631,A632)+1,"")</f>
        <v/>
      </c>
      <c r="C632" s="50"/>
      <c r="D632" s="50"/>
      <c r="E632" s="50"/>
      <c r="F632" s="50"/>
      <c r="G632" s="280"/>
      <c r="H632" s="293"/>
      <c r="I632" s="292"/>
      <c r="J632" s="292"/>
      <c r="K632" s="200"/>
      <c r="L632" s="200"/>
      <c r="M632" s="89" t="str">
        <f>IFERROR(VLOOKUP(H632,Lijsten!$H$1:$I$100,2,0),"")</f>
        <v/>
      </c>
      <c r="N632" s="89" t="str" cm="1">
        <f t="array" ref="N632">IFERROR(_xlfn.IFS(AND(LEFT(F632,6)="Arbeid",RIGHT(F632,3)&lt;&gt;"IKS"),IFERROR(VLOOKUP($G632,Tb_KostenTypen[],2,0),"tarief"),RIGHT(F632,3)="IKS","Uurtarief",LEFT(F632,6)="Arbeid","Uurtarief",AND(LEFT(F632,8)="Bijdrage",RIGHT(F632,15)="(vrijwilligers)"),"Vast tarief"),"")</f>
        <v/>
      </c>
      <c r="O632" s="90"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0"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1"/>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59"/>
      <c r="Z632" s="49"/>
      <c r="AA632" s="37" t="str" cm="1">
        <f t="array" ref="AA632">IFERROR(IF(INDEX(SubsidieTabel!$Q$1:$T$9,MATCH($F632,SubsidieTabel!$Q$1:$Q$9,0),IFERROR(MATCH(Methode_Keuze,SubsidieTabel!$Q$1:$T$1,0),2))&lt;&gt;1=TRUE,"ja",""),"")</f>
        <v/>
      </c>
    </row>
    <row r="633" spans="1:27" ht="15" customHeight="1" x14ac:dyDescent="0.25">
      <c r="A633" s="85"/>
      <c r="B633" s="217" t="str">
        <f>IF(A633&lt;&gt;"",_xlfn.MAXIFS($B$1:B632,$A$1:A632,A633)+1,"")</f>
        <v/>
      </c>
      <c r="C633" s="50"/>
      <c r="D633" s="50"/>
      <c r="E633" s="50"/>
      <c r="F633" s="50"/>
      <c r="G633" s="280"/>
      <c r="H633" s="293"/>
      <c r="I633" s="292"/>
      <c r="J633" s="292"/>
      <c r="K633" s="200"/>
      <c r="L633" s="200"/>
      <c r="M633" s="89" t="str">
        <f>IFERROR(VLOOKUP(H633,Lijsten!$H$1:$I$100,2,0),"")</f>
        <v/>
      </c>
      <c r="N633" s="89" t="str" cm="1">
        <f t="array" ref="N633">IFERROR(_xlfn.IFS(AND(LEFT(F633,6)="Arbeid",RIGHT(F633,3)&lt;&gt;"IKS"),IFERROR(VLOOKUP($G633,Tb_KostenTypen[],2,0),"tarief"),RIGHT(F633,3)="IKS","Uurtarief",LEFT(F633,6)="Arbeid","Uurtarief",AND(LEFT(F633,8)="Bijdrage",RIGHT(F633,15)="(vrijwilligers)"),"Vast tarief"),"")</f>
        <v/>
      </c>
      <c r="O633" s="90"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0"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1"/>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59"/>
      <c r="Z633" s="49"/>
      <c r="AA633" s="37" t="str" cm="1">
        <f t="array" ref="AA633">IFERROR(IF(INDEX(SubsidieTabel!$Q$1:$T$9,MATCH($F633,SubsidieTabel!$Q$1:$Q$9,0),IFERROR(MATCH(Methode_Keuze,SubsidieTabel!$Q$1:$T$1,0),2))&lt;&gt;1=TRUE,"ja",""),"")</f>
        <v/>
      </c>
    </row>
    <row r="634" spans="1:27" ht="15" customHeight="1" x14ac:dyDescent="0.25">
      <c r="A634" s="85"/>
      <c r="B634" s="217" t="str">
        <f>IF(A634&lt;&gt;"",_xlfn.MAXIFS($B$1:B633,$A$1:A633,A634)+1,"")</f>
        <v/>
      </c>
      <c r="C634" s="50"/>
      <c r="D634" s="50"/>
      <c r="E634" s="50"/>
      <c r="F634" s="50"/>
      <c r="G634" s="280"/>
      <c r="H634" s="293"/>
      <c r="I634" s="292"/>
      <c r="J634" s="292"/>
      <c r="K634" s="200"/>
      <c r="L634" s="200"/>
      <c r="M634" s="89" t="str">
        <f>IFERROR(VLOOKUP(H634,Lijsten!$H$1:$I$100,2,0),"")</f>
        <v/>
      </c>
      <c r="N634" s="89" t="str" cm="1">
        <f t="array" ref="N634">IFERROR(_xlfn.IFS(AND(LEFT(F634,6)="Arbeid",RIGHT(F634,3)&lt;&gt;"IKS"),IFERROR(VLOOKUP($G634,Tb_KostenTypen[],2,0),"tarief"),RIGHT(F634,3)="IKS","Uurtarief",LEFT(F634,6)="Arbeid","Uurtarief",AND(LEFT(F634,8)="Bijdrage",RIGHT(F634,15)="(vrijwilligers)"),"Vast tarief"),"")</f>
        <v/>
      </c>
      <c r="O634" s="90"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0"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1"/>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59"/>
      <c r="Z634" s="49"/>
      <c r="AA634" s="37" t="str" cm="1">
        <f t="array" ref="AA634">IFERROR(IF(INDEX(SubsidieTabel!$Q$1:$T$9,MATCH($F634,SubsidieTabel!$Q$1:$Q$9,0),IFERROR(MATCH(Methode_Keuze,SubsidieTabel!$Q$1:$T$1,0),2))&lt;&gt;1=TRUE,"ja",""),"")</f>
        <v/>
      </c>
    </row>
    <row r="635" spans="1:27" ht="15" customHeight="1" x14ac:dyDescent="0.25">
      <c r="A635" s="85"/>
      <c r="B635" s="217" t="str">
        <f>IF(A635&lt;&gt;"",_xlfn.MAXIFS($B$1:B634,$A$1:A634,A635)+1,"")</f>
        <v/>
      </c>
      <c r="C635" s="50"/>
      <c r="D635" s="50"/>
      <c r="E635" s="50"/>
      <c r="F635" s="50"/>
      <c r="G635" s="280"/>
      <c r="H635" s="293"/>
      <c r="I635" s="292"/>
      <c r="J635" s="292"/>
      <c r="K635" s="200"/>
      <c r="L635" s="200"/>
      <c r="M635" s="89" t="str">
        <f>IFERROR(VLOOKUP(H635,Lijsten!$H$1:$I$100,2,0),"")</f>
        <v/>
      </c>
      <c r="N635" s="89" t="str" cm="1">
        <f t="array" ref="N635">IFERROR(_xlfn.IFS(AND(LEFT(F635,6)="Arbeid",RIGHT(F635,3)&lt;&gt;"IKS"),IFERROR(VLOOKUP($G635,Tb_KostenTypen[],2,0),"tarief"),RIGHT(F635,3)="IKS","Uurtarief",LEFT(F635,6)="Arbeid","Uurtarief",AND(LEFT(F635,8)="Bijdrage",RIGHT(F635,15)="(vrijwilligers)"),"Vast tarief"),"")</f>
        <v/>
      </c>
      <c r="O635" s="90"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0"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1"/>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59"/>
      <c r="Z635" s="49"/>
      <c r="AA635" s="37" t="str" cm="1">
        <f t="array" ref="AA635">IFERROR(IF(INDEX(SubsidieTabel!$Q$1:$T$9,MATCH($F635,SubsidieTabel!$Q$1:$Q$9,0),IFERROR(MATCH(Methode_Keuze,SubsidieTabel!$Q$1:$T$1,0),2))&lt;&gt;1=TRUE,"ja",""),"")</f>
        <v/>
      </c>
    </row>
    <row r="636" spans="1:27" ht="15" customHeight="1" x14ac:dyDescent="0.25">
      <c r="A636" s="85"/>
      <c r="B636" s="217" t="str">
        <f>IF(A636&lt;&gt;"",_xlfn.MAXIFS($B$1:B635,$A$1:A635,A636)+1,"")</f>
        <v/>
      </c>
      <c r="C636" s="50"/>
      <c r="D636" s="50"/>
      <c r="E636" s="50"/>
      <c r="F636" s="50"/>
      <c r="G636" s="280"/>
      <c r="H636" s="293"/>
      <c r="I636" s="292"/>
      <c r="J636" s="292"/>
      <c r="K636" s="200"/>
      <c r="L636" s="200"/>
      <c r="M636" s="89" t="str">
        <f>IFERROR(VLOOKUP(H636,Lijsten!$H$1:$I$100,2,0),"")</f>
        <v/>
      </c>
      <c r="N636" s="89" t="str" cm="1">
        <f t="array" ref="N636">IFERROR(_xlfn.IFS(AND(LEFT(F636,6)="Arbeid",RIGHT(F636,3)&lt;&gt;"IKS"),IFERROR(VLOOKUP($G636,Tb_KostenTypen[],2,0),"tarief"),RIGHT(F636,3)="IKS","Uurtarief",LEFT(F636,6)="Arbeid","Uurtarief",AND(LEFT(F636,8)="Bijdrage",RIGHT(F636,15)="(vrijwilligers)"),"Vast tarief"),"")</f>
        <v/>
      </c>
      <c r="O636" s="90"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0"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1"/>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59"/>
      <c r="Z636" s="49"/>
      <c r="AA636" s="37" t="str" cm="1">
        <f t="array" ref="AA636">IFERROR(IF(INDEX(SubsidieTabel!$Q$1:$T$9,MATCH($F636,SubsidieTabel!$Q$1:$Q$9,0),IFERROR(MATCH(Methode_Keuze,SubsidieTabel!$Q$1:$T$1,0),2))&lt;&gt;1=TRUE,"ja",""),"")</f>
        <v/>
      </c>
    </row>
    <row r="637" spans="1:27" ht="15" customHeight="1" x14ac:dyDescent="0.25">
      <c r="A637" s="85"/>
      <c r="B637" s="217" t="str">
        <f>IF(A637&lt;&gt;"",_xlfn.MAXIFS($B$1:B636,$A$1:A636,A637)+1,"")</f>
        <v/>
      </c>
      <c r="C637" s="50"/>
      <c r="D637" s="50"/>
      <c r="E637" s="50"/>
      <c r="F637" s="50"/>
      <c r="G637" s="280"/>
      <c r="H637" s="293"/>
      <c r="I637" s="292"/>
      <c r="J637" s="292"/>
      <c r="K637" s="200"/>
      <c r="L637" s="200"/>
      <c r="M637" s="89" t="str">
        <f>IFERROR(VLOOKUP(H637,Lijsten!$H$1:$I$100,2,0),"")</f>
        <v/>
      </c>
      <c r="N637" s="89" t="str" cm="1">
        <f t="array" ref="N637">IFERROR(_xlfn.IFS(AND(LEFT(F637,6)="Arbeid",RIGHT(F637,3)&lt;&gt;"IKS"),IFERROR(VLOOKUP($G637,Tb_KostenTypen[],2,0),"tarief"),RIGHT(F637,3)="IKS","Uurtarief",LEFT(F637,6)="Arbeid","Uurtarief",AND(LEFT(F637,8)="Bijdrage",RIGHT(F637,15)="(vrijwilligers)"),"Vast tarief"),"")</f>
        <v/>
      </c>
      <c r="O637" s="90"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0"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1"/>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59"/>
      <c r="Z637" s="49"/>
      <c r="AA637" s="37" t="str" cm="1">
        <f t="array" ref="AA637">IFERROR(IF(INDEX(SubsidieTabel!$Q$1:$T$9,MATCH($F637,SubsidieTabel!$Q$1:$Q$9,0),IFERROR(MATCH(Methode_Keuze,SubsidieTabel!$Q$1:$T$1,0),2))&lt;&gt;1=TRUE,"ja",""),"")</f>
        <v/>
      </c>
    </row>
    <row r="638" spans="1:27" ht="15" customHeight="1" x14ac:dyDescent="0.25">
      <c r="A638" s="85"/>
      <c r="B638" s="217" t="str">
        <f>IF(A638&lt;&gt;"",_xlfn.MAXIFS($B$1:B637,$A$1:A637,A638)+1,"")</f>
        <v/>
      </c>
      <c r="C638" s="50"/>
      <c r="D638" s="50"/>
      <c r="E638" s="50"/>
      <c r="F638" s="50"/>
      <c r="G638" s="280"/>
      <c r="H638" s="293"/>
      <c r="I638" s="292"/>
      <c r="J638" s="292"/>
      <c r="K638" s="200"/>
      <c r="L638" s="200"/>
      <c r="M638" s="89" t="str">
        <f>IFERROR(VLOOKUP(H638,Lijsten!$H$1:$I$100,2,0),"")</f>
        <v/>
      </c>
      <c r="N638" s="89" t="str" cm="1">
        <f t="array" ref="N638">IFERROR(_xlfn.IFS(AND(LEFT(F638,6)="Arbeid",RIGHT(F638,3)&lt;&gt;"IKS"),IFERROR(VLOOKUP($G638,Tb_KostenTypen[],2,0),"tarief"),RIGHT(F638,3)="IKS","Uurtarief",LEFT(F638,6)="Arbeid","Uurtarief",AND(LEFT(F638,8)="Bijdrage",RIGHT(F638,15)="(vrijwilligers)"),"Vast tarief"),"")</f>
        <v/>
      </c>
      <c r="O638" s="90"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0"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1"/>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59"/>
      <c r="Z638" s="49"/>
      <c r="AA638" s="37" t="str" cm="1">
        <f t="array" ref="AA638">IFERROR(IF(INDEX(SubsidieTabel!$Q$1:$T$9,MATCH($F638,SubsidieTabel!$Q$1:$Q$9,0),IFERROR(MATCH(Methode_Keuze,SubsidieTabel!$Q$1:$T$1,0),2))&lt;&gt;1=TRUE,"ja",""),"")</f>
        <v/>
      </c>
    </row>
    <row r="639" spans="1:27" ht="15" customHeight="1" x14ac:dyDescent="0.25">
      <c r="A639" s="85"/>
      <c r="B639" s="217" t="str">
        <f>IF(A639&lt;&gt;"",_xlfn.MAXIFS($B$1:B638,$A$1:A638,A639)+1,"")</f>
        <v/>
      </c>
      <c r="C639" s="50"/>
      <c r="D639" s="50"/>
      <c r="E639" s="50"/>
      <c r="F639" s="50"/>
      <c r="G639" s="280"/>
      <c r="H639" s="293"/>
      <c r="I639" s="292"/>
      <c r="J639" s="292"/>
      <c r="K639" s="200"/>
      <c r="L639" s="200"/>
      <c r="M639" s="89" t="str">
        <f>IFERROR(VLOOKUP(H639,Lijsten!$H$1:$I$100,2,0),"")</f>
        <v/>
      </c>
      <c r="N639" s="89" t="str" cm="1">
        <f t="array" ref="N639">IFERROR(_xlfn.IFS(AND(LEFT(F639,6)="Arbeid",RIGHT(F639,3)&lt;&gt;"IKS"),IFERROR(VLOOKUP($G639,Tb_KostenTypen[],2,0),"tarief"),RIGHT(F639,3)="IKS","Uurtarief",LEFT(F639,6)="Arbeid","Uurtarief",AND(LEFT(F639,8)="Bijdrage",RIGHT(F639,15)="(vrijwilligers)"),"Vast tarief"),"")</f>
        <v/>
      </c>
      <c r="O639" s="90"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0"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1"/>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59"/>
      <c r="Z639" s="49"/>
      <c r="AA639" s="37" t="str" cm="1">
        <f t="array" ref="AA639">IFERROR(IF(INDEX(SubsidieTabel!$Q$1:$T$9,MATCH($F639,SubsidieTabel!$Q$1:$Q$9,0),IFERROR(MATCH(Methode_Keuze,SubsidieTabel!$Q$1:$T$1,0),2))&lt;&gt;1=TRUE,"ja",""),"")</f>
        <v/>
      </c>
    </row>
    <row r="640" spans="1:27" ht="15" customHeight="1" x14ac:dyDescent="0.25">
      <c r="A640" s="85"/>
      <c r="B640" s="217" t="str">
        <f>IF(A640&lt;&gt;"",_xlfn.MAXIFS($B$1:B639,$A$1:A639,A640)+1,"")</f>
        <v/>
      </c>
      <c r="C640" s="50"/>
      <c r="D640" s="50"/>
      <c r="E640" s="50"/>
      <c r="F640" s="50"/>
      <c r="G640" s="280"/>
      <c r="H640" s="293"/>
      <c r="I640" s="292"/>
      <c r="J640" s="292"/>
      <c r="K640" s="200"/>
      <c r="L640" s="200"/>
      <c r="M640" s="89" t="str">
        <f>IFERROR(VLOOKUP(H640,Lijsten!$H$1:$I$100,2,0),"")</f>
        <v/>
      </c>
      <c r="N640" s="89" t="str" cm="1">
        <f t="array" ref="N640">IFERROR(_xlfn.IFS(AND(LEFT(F640,6)="Arbeid",RIGHT(F640,3)&lt;&gt;"IKS"),IFERROR(VLOOKUP($G640,Tb_KostenTypen[],2,0),"tarief"),RIGHT(F640,3)="IKS","Uurtarief",LEFT(F640,6)="Arbeid","Uurtarief",AND(LEFT(F640,8)="Bijdrage",RIGHT(F640,15)="(vrijwilligers)"),"Vast tarief"),"")</f>
        <v/>
      </c>
      <c r="O640" s="90"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0"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1"/>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59"/>
      <c r="Z640" s="49"/>
      <c r="AA640" s="37" t="str" cm="1">
        <f t="array" ref="AA640">IFERROR(IF(INDEX(SubsidieTabel!$Q$1:$T$9,MATCH($F640,SubsidieTabel!$Q$1:$Q$9,0),IFERROR(MATCH(Methode_Keuze,SubsidieTabel!$Q$1:$T$1,0),2))&lt;&gt;1=TRUE,"ja",""),"")</f>
        <v/>
      </c>
    </row>
    <row r="641" spans="1:27" ht="15" customHeight="1" x14ac:dyDescent="0.25">
      <c r="A641" s="85"/>
      <c r="B641" s="217" t="str">
        <f>IF(A641&lt;&gt;"",_xlfn.MAXIFS($B$1:B640,$A$1:A640,A641)+1,"")</f>
        <v/>
      </c>
      <c r="C641" s="50"/>
      <c r="D641" s="50"/>
      <c r="E641" s="50"/>
      <c r="F641" s="50"/>
      <c r="G641" s="280"/>
      <c r="H641" s="293"/>
      <c r="I641" s="292"/>
      <c r="J641" s="292"/>
      <c r="K641" s="200"/>
      <c r="L641" s="200"/>
      <c r="M641" s="89" t="str">
        <f>IFERROR(VLOOKUP(H641,Lijsten!$H$1:$I$100,2,0),"")</f>
        <v/>
      </c>
      <c r="N641" s="89" t="str" cm="1">
        <f t="array" ref="N641">IFERROR(_xlfn.IFS(AND(LEFT(F641,6)="Arbeid",RIGHT(F641,3)&lt;&gt;"IKS"),IFERROR(VLOOKUP($G641,Tb_KostenTypen[],2,0),"tarief"),RIGHT(F641,3)="IKS","Uurtarief",LEFT(F641,6)="Arbeid","Uurtarief",AND(LEFT(F641,8)="Bijdrage",RIGHT(F641,15)="(vrijwilligers)"),"Vast tarief"),"")</f>
        <v/>
      </c>
      <c r="O641" s="90"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0"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1"/>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59"/>
      <c r="Z641" s="49"/>
      <c r="AA641" s="37" t="str" cm="1">
        <f t="array" ref="AA641">IFERROR(IF(INDEX(SubsidieTabel!$Q$1:$T$9,MATCH($F641,SubsidieTabel!$Q$1:$Q$9,0),IFERROR(MATCH(Methode_Keuze,SubsidieTabel!$Q$1:$T$1,0),2))&lt;&gt;1=TRUE,"ja",""),"")</f>
        <v/>
      </c>
    </row>
    <row r="642" spans="1:27" ht="15" customHeight="1" x14ac:dyDescent="0.25">
      <c r="A642" s="85"/>
      <c r="B642" s="217" t="str">
        <f>IF(A642&lt;&gt;"",_xlfn.MAXIFS($B$1:B641,$A$1:A641,A642)+1,"")</f>
        <v/>
      </c>
      <c r="C642" s="50"/>
      <c r="D642" s="50"/>
      <c r="E642" s="50"/>
      <c r="F642" s="50"/>
      <c r="G642" s="280"/>
      <c r="H642" s="293"/>
      <c r="I642" s="292"/>
      <c r="J642" s="292"/>
      <c r="K642" s="200"/>
      <c r="L642" s="200"/>
      <c r="M642" s="89" t="str">
        <f>IFERROR(VLOOKUP(H642,Lijsten!$H$1:$I$100,2,0),"")</f>
        <v/>
      </c>
      <c r="N642" s="89" t="str" cm="1">
        <f t="array" ref="N642">IFERROR(_xlfn.IFS(AND(LEFT(F642,6)="Arbeid",RIGHT(F642,3)&lt;&gt;"IKS"),IFERROR(VLOOKUP($G642,Tb_KostenTypen[],2,0),"tarief"),RIGHT(F642,3)="IKS","Uurtarief",LEFT(F642,6)="Arbeid","Uurtarief",AND(LEFT(F642,8)="Bijdrage",RIGHT(F642,15)="(vrijwilligers)"),"Vast tarief"),"")</f>
        <v/>
      </c>
      <c r="O642" s="90"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0"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1"/>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59"/>
      <c r="Z642" s="49"/>
      <c r="AA642" s="37" t="str" cm="1">
        <f t="array" ref="AA642">IFERROR(IF(INDEX(SubsidieTabel!$Q$1:$T$9,MATCH($F642,SubsidieTabel!$Q$1:$Q$9,0),IFERROR(MATCH(Methode_Keuze,SubsidieTabel!$Q$1:$T$1,0),2))&lt;&gt;1=TRUE,"ja",""),"")</f>
        <v/>
      </c>
    </row>
    <row r="643" spans="1:27" ht="15" customHeight="1" x14ac:dyDescent="0.25">
      <c r="A643" s="85"/>
      <c r="B643" s="217" t="str">
        <f>IF(A643&lt;&gt;"",_xlfn.MAXIFS($B$1:B642,$A$1:A642,A643)+1,"")</f>
        <v/>
      </c>
      <c r="C643" s="50"/>
      <c r="D643" s="50"/>
      <c r="E643" s="50"/>
      <c r="F643" s="50"/>
      <c r="G643" s="280"/>
      <c r="H643" s="293"/>
      <c r="I643" s="292"/>
      <c r="J643" s="292"/>
      <c r="K643" s="200"/>
      <c r="L643" s="200"/>
      <c r="M643" s="89" t="str">
        <f>IFERROR(VLOOKUP(H643,Lijsten!$H$1:$I$100,2,0),"")</f>
        <v/>
      </c>
      <c r="N643" s="89" t="str" cm="1">
        <f t="array" ref="N643">IFERROR(_xlfn.IFS(AND(LEFT(F643,6)="Arbeid",RIGHT(F643,3)&lt;&gt;"IKS"),IFERROR(VLOOKUP($G643,Tb_KostenTypen[],2,0),"tarief"),RIGHT(F643,3)="IKS","Uurtarief",LEFT(F643,6)="Arbeid","Uurtarief",AND(LEFT(F643,8)="Bijdrage",RIGHT(F643,15)="(vrijwilligers)"),"Vast tarief"),"")</f>
        <v/>
      </c>
      <c r="O643" s="90"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0"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1"/>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59"/>
      <c r="Z643" s="49"/>
      <c r="AA643" s="37" t="str" cm="1">
        <f t="array" ref="AA643">IFERROR(IF(INDEX(SubsidieTabel!$Q$1:$T$9,MATCH($F643,SubsidieTabel!$Q$1:$Q$9,0),IFERROR(MATCH(Methode_Keuze,SubsidieTabel!$Q$1:$T$1,0),2))&lt;&gt;1=TRUE,"ja",""),"")</f>
        <v/>
      </c>
    </row>
    <row r="644" spans="1:27" ht="15" customHeight="1" x14ac:dyDescent="0.25">
      <c r="A644" s="85"/>
      <c r="B644" s="217" t="str">
        <f>IF(A644&lt;&gt;"",_xlfn.MAXIFS($B$1:B643,$A$1:A643,A644)+1,"")</f>
        <v/>
      </c>
      <c r="C644" s="50"/>
      <c r="D644" s="50"/>
      <c r="E644" s="50"/>
      <c r="F644" s="50"/>
      <c r="G644" s="280"/>
      <c r="H644" s="293"/>
      <c r="I644" s="292"/>
      <c r="J644" s="292"/>
      <c r="K644" s="200"/>
      <c r="L644" s="200"/>
      <c r="M644" s="89" t="str">
        <f>IFERROR(VLOOKUP(H644,Lijsten!$H$1:$I$100,2,0),"")</f>
        <v/>
      </c>
      <c r="N644" s="89" t="str" cm="1">
        <f t="array" ref="N644">IFERROR(_xlfn.IFS(AND(LEFT(F644,6)="Arbeid",RIGHT(F644,3)&lt;&gt;"IKS"),IFERROR(VLOOKUP($G644,Tb_KostenTypen[],2,0),"tarief"),RIGHT(F644,3)="IKS","Uurtarief",LEFT(F644,6)="Arbeid","Uurtarief",AND(LEFT(F644,8)="Bijdrage",RIGHT(F644,15)="(vrijwilligers)"),"Vast tarief"),"")</f>
        <v/>
      </c>
      <c r="O644" s="90"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0"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1"/>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59"/>
      <c r="Z644" s="49"/>
      <c r="AA644" s="37" t="str" cm="1">
        <f t="array" ref="AA644">IFERROR(IF(INDEX(SubsidieTabel!$Q$1:$T$9,MATCH($F644,SubsidieTabel!$Q$1:$Q$9,0),IFERROR(MATCH(Methode_Keuze,SubsidieTabel!$Q$1:$T$1,0),2))&lt;&gt;1=TRUE,"ja",""),"")</f>
        <v/>
      </c>
    </row>
    <row r="645" spans="1:27" ht="15" customHeight="1" x14ac:dyDescent="0.25">
      <c r="A645" s="85"/>
      <c r="B645" s="217" t="str">
        <f>IF(A645&lt;&gt;"",_xlfn.MAXIFS($B$1:B644,$A$1:A644,A645)+1,"")</f>
        <v/>
      </c>
      <c r="C645" s="50"/>
      <c r="D645" s="50"/>
      <c r="E645" s="50"/>
      <c r="F645" s="50"/>
      <c r="G645" s="280"/>
      <c r="H645" s="293"/>
      <c r="I645" s="292"/>
      <c r="J645" s="292"/>
      <c r="K645" s="200"/>
      <c r="L645" s="200"/>
      <c r="M645" s="89" t="str">
        <f>IFERROR(VLOOKUP(H645,Lijsten!$H$1:$I$100,2,0),"")</f>
        <v/>
      </c>
      <c r="N645" s="89" t="str" cm="1">
        <f t="array" ref="N645">IFERROR(_xlfn.IFS(AND(LEFT(F645,6)="Arbeid",RIGHT(F645,3)&lt;&gt;"IKS"),IFERROR(VLOOKUP($G645,Tb_KostenTypen[],2,0),"tarief"),RIGHT(F645,3)="IKS","Uurtarief",LEFT(F645,6)="Arbeid","Uurtarief",AND(LEFT(F645,8)="Bijdrage",RIGHT(F645,15)="(vrijwilligers)"),"Vast tarief"),"")</f>
        <v/>
      </c>
      <c r="O645" s="90"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0"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1"/>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59"/>
      <c r="Z645" s="49"/>
      <c r="AA645" s="37" t="str" cm="1">
        <f t="array" ref="AA645">IFERROR(IF(INDEX(SubsidieTabel!$Q$1:$T$9,MATCH($F645,SubsidieTabel!$Q$1:$Q$9,0),IFERROR(MATCH(Methode_Keuze,SubsidieTabel!$Q$1:$T$1,0),2))&lt;&gt;1=TRUE,"ja",""),"")</f>
        <v/>
      </c>
    </row>
    <row r="646" spans="1:27" ht="15" customHeight="1" x14ac:dyDescent="0.25">
      <c r="A646" s="85"/>
      <c r="B646" s="217" t="str">
        <f>IF(A646&lt;&gt;"",_xlfn.MAXIFS($B$1:B645,$A$1:A645,A646)+1,"")</f>
        <v/>
      </c>
      <c r="C646" s="50"/>
      <c r="D646" s="50"/>
      <c r="E646" s="50"/>
      <c r="F646" s="50"/>
      <c r="G646" s="280"/>
      <c r="H646" s="293"/>
      <c r="I646" s="292"/>
      <c r="J646" s="292"/>
      <c r="K646" s="200"/>
      <c r="L646" s="200"/>
      <c r="M646" s="89" t="str">
        <f>IFERROR(VLOOKUP(H646,Lijsten!$H$1:$I$100,2,0),"")</f>
        <v/>
      </c>
      <c r="N646" s="89" t="str" cm="1">
        <f t="array" ref="N646">IFERROR(_xlfn.IFS(AND(LEFT(F646,6)="Arbeid",RIGHT(F646,3)&lt;&gt;"IKS"),IFERROR(VLOOKUP($G646,Tb_KostenTypen[],2,0),"tarief"),RIGHT(F646,3)="IKS","Uurtarief",LEFT(F646,6)="Arbeid","Uurtarief",AND(LEFT(F646,8)="Bijdrage",RIGHT(F646,15)="(vrijwilligers)"),"Vast tarief"),"")</f>
        <v/>
      </c>
      <c r="O646" s="90"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0"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1"/>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59"/>
      <c r="Z646" s="49"/>
      <c r="AA646" s="37" t="str" cm="1">
        <f t="array" ref="AA646">IFERROR(IF(INDEX(SubsidieTabel!$Q$1:$T$9,MATCH($F646,SubsidieTabel!$Q$1:$Q$9,0),IFERROR(MATCH(Methode_Keuze,SubsidieTabel!$Q$1:$T$1,0),2))&lt;&gt;1=TRUE,"ja",""),"")</f>
        <v/>
      </c>
    </row>
    <row r="647" spans="1:27" ht="15" customHeight="1" x14ac:dyDescent="0.25">
      <c r="A647" s="85"/>
      <c r="B647" s="217" t="str">
        <f>IF(A647&lt;&gt;"",_xlfn.MAXIFS($B$1:B646,$A$1:A646,A647)+1,"")</f>
        <v/>
      </c>
      <c r="C647" s="50"/>
      <c r="D647" s="50"/>
      <c r="E647" s="50"/>
      <c r="F647" s="50"/>
      <c r="G647" s="280"/>
      <c r="H647" s="293"/>
      <c r="I647" s="292"/>
      <c r="J647" s="292"/>
      <c r="K647" s="200"/>
      <c r="L647" s="200"/>
      <c r="M647" s="89" t="str">
        <f>IFERROR(VLOOKUP(H647,Lijsten!$H$1:$I$100,2,0),"")</f>
        <v/>
      </c>
      <c r="N647" s="89" t="str" cm="1">
        <f t="array" ref="N647">IFERROR(_xlfn.IFS(AND(LEFT(F647,6)="Arbeid",RIGHT(F647,3)&lt;&gt;"IKS"),IFERROR(VLOOKUP($G647,Tb_KostenTypen[],2,0),"tarief"),RIGHT(F647,3)="IKS","Uurtarief",LEFT(F647,6)="Arbeid","Uurtarief",AND(LEFT(F647,8)="Bijdrage",RIGHT(F647,15)="(vrijwilligers)"),"Vast tarief"),"")</f>
        <v/>
      </c>
      <c r="O647" s="90"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0"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1"/>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59"/>
      <c r="Z647" s="49"/>
      <c r="AA647" s="37" t="str" cm="1">
        <f t="array" ref="AA647">IFERROR(IF(INDEX(SubsidieTabel!$Q$1:$T$9,MATCH($F647,SubsidieTabel!$Q$1:$Q$9,0),IFERROR(MATCH(Methode_Keuze,SubsidieTabel!$Q$1:$T$1,0),2))&lt;&gt;1=TRUE,"ja",""),"")</f>
        <v/>
      </c>
    </row>
    <row r="648" spans="1:27" ht="15" customHeight="1" x14ac:dyDescent="0.25">
      <c r="A648" s="85"/>
      <c r="B648" s="217" t="str">
        <f>IF(A648&lt;&gt;"",_xlfn.MAXIFS($B$1:B647,$A$1:A647,A648)+1,"")</f>
        <v/>
      </c>
      <c r="C648" s="50"/>
      <c r="D648" s="50"/>
      <c r="E648" s="50"/>
      <c r="F648" s="50"/>
      <c r="G648" s="280"/>
      <c r="H648" s="293"/>
      <c r="I648" s="292"/>
      <c r="J648" s="292"/>
      <c r="K648" s="200"/>
      <c r="L648" s="200"/>
      <c r="M648" s="89" t="str">
        <f>IFERROR(VLOOKUP(H648,Lijsten!$H$1:$I$100,2,0),"")</f>
        <v/>
      </c>
      <c r="N648" s="89" t="str" cm="1">
        <f t="array" ref="N648">IFERROR(_xlfn.IFS(AND(LEFT(F648,6)="Arbeid",RIGHT(F648,3)&lt;&gt;"IKS"),IFERROR(VLOOKUP($G648,Tb_KostenTypen[],2,0),"tarief"),RIGHT(F648,3)="IKS","Uurtarief",LEFT(F648,6)="Arbeid","Uurtarief",AND(LEFT(F648,8)="Bijdrage",RIGHT(F648,15)="(vrijwilligers)"),"Vast tarief"),"")</f>
        <v/>
      </c>
      <c r="O648" s="90"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0"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1"/>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59"/>
      <c r="Z648" s="49"/>
      <c r="AA648" s="37" t="str" cm="1">
        <f t="array" ref="AA648">IFERROR(IF(INDEX(SubsidieTabel!$Q$1:$T$9,MATCH($F648,SubsidieTabel!$Q$1:$Q$9,0),IFERROR(MATCH(Methode_Keuze,SubsidieTabel!$Q$1:$T$1,0),2))&lt;&gt;1=TRUE,"ja",""),"")</f>
        <v/>
      </c>
    </row>
    <row r="649" spans="1:27" ht="15" customHeight="1" x14ac:dyDescent="0.25">
      <c r="A649" s="85"/>
      <c r="B649" s="217" t="str">
        <f>IF(A649&lt;&gt;"",_xlfn.MAXIFS($B$1:B648,$A$1:A648,A649)+1,"")</f>
        <v/>
      </c>
      <c r="C649" s="50"/>
      <c r="D649" s="50"/>
      <c r="E649" s="50"/>
      <c r="F649" s="50"/>
      <c r="G649" s="280"/>
      <c r="H649" s="293"/>
      <c r="I649" s="292"/>
      <c r="J649" s="292"/>
      <c r="K649" s="200"/>
      <c r="L649" s="200"/>
      <c r="M649" s="89" t="str">
        <f>IFERROR(VLOOKUP(H649,Lijsten!$H$1:$I$100,2,0),"")</f>
        <v/>
      </c>
      <c r="N649" s="89" t="str" cm="1">
        <f t="array" ref="N649">IFERROR(_xlfn.IFS(AND(LEFT(F649,6)="Arbeid",RIGHT(F649,3)&lt;&gt;"IKS"),IFERROR(VLOOKUP($G649,Tb_KostenTypen[],2,0),"tarief"),RIGHT(F649,3)="IKS","Uurtarief",LEFT(F649,6)="Arbeid","Uurtarief",AND(LEFT(F649,8)="Bijdrage",RIGHT(F649,15)="(vrijwilligers)"),"Vast tarief"),"")</f>
        <v/>
      </c>
      <c r="O649" s="90"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0"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1"/>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59"/>
      <c r="Z649" s="49"/>
      <c r="AA649" s="37" t="str" cm="1">
        <f t="array" ref="AA649">IFERROR(IF(INDEX(SubsidieTabel!$Q$1:$T$9,MATCH($F649,SubsidieTabel!$Q$1:$Q$9,0),IFERROR(MATCH(Methode_Keuze,SubsidieTabel!$Q$1:$T$1,0),2))&lt;&gt;1=TRUE,"ja",""),"")</f>
        <v/>
      </c>
    </row>
    <row r="650" spans="1:27" ht="15" customHeight="1" x14ac:dyDescent="0.25">
      <c r="A650" s="85"/>
      <c r="B650" s="217" t="str">
        <f>IF(A650&lt;&gt;"",_xlfn.MAXIFS($B$1:B649,$A$1:A649,A650)+1,"")</f>
        <v/>
      </c>
      <c r="C650" s="50"/>
      <c r="D650" s="50"/>
      <c r="E650" s="50"/>
      <c r="F650" s="50"/>
      <c r="G650" s="280"/>
      <c r="H650" s="293"/>
      <c r="I650" s="292"/>
      <c r="J650" s="292"/>
      <c r="K650" s="200"/>
      <c r="L650" s="200"/>
      <c r="M650" s="89" t="str">
        <f>IFERROR(VLOOKUP(H650,Lijsten!$H$1:$I$100,2,0),"")</f>
        <v/>
      </c>
      <c r="N650" s="89" t="str" cm="1">
        <f t="array" ref="N650">IFERROR(_xlfn.IFS(AND(LEFT(F650,6)="Arbeid",RIGHT(F650,3)&lt;&gt;"IKS"),IFERROR(VLOOKUP($G650,Tb_KostenTypen[],2,0),"tarief"),RIGHT(F650,3)="IKS","Uurtarief",LEFT(F650,6)="Arbeid","Uurtarief",AND(LEFT(F650,8)="Bijdrage",RIGHT(F650,15)="(vrijwilligers)"),"Vast tarief"),"")</f>
        <v/>
      </c>
      <c r="O650" s="90"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0"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1"/>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59"/>
      <c r="Z650" s="49"/>
      <c r="AA650" s="37" t="str" cm="1">
        <f t="array" ref="AA650">IFERROR(IF(INDEX(SubsidieTabel!$Q$1:$T$9,MATCH($F650,SubsidieTabel!$Q$1:$Q$9,0),IFERROR(MATCH(Methode_Keuze,SubsidieTabel!$Q$1:$T$1,0),2))&lt;&gt;1=TRUE,"ja",""),"")</f>
        <v/>
      </c>
    </row>
    <row r="651" spans="1:27" ht="15" customHeight="1" x14ac:dyDescent="0.25">
      <c r="A651" s="85"/>
      <c r="B651" s="217" t="str">
        <f>IF(A651&lt;&gt;"",_xlfn.MAXIFS($B$1:B650,$A$1:A650,A651)+1,"")</f>
        <v/>
      </c>
      <c r="C651" s="50"/>
      <c r="D651" s="50"/>
      <c r="E651" s="50"/>
      <c r="F651" s="50"/>
      <c r="G651" s="280"/>
      <c r="H651" s="293"/>
      <c r="I651" s="292"/>
      <c r="J651" s="292"/>
      <c r="K651" s="200"/>
      <c r="L651" s="200"/>
      <c r="M651" s="89" t="str">
        <f>IFERROR(VLOOKUP(H651,Lijsten!$H$1:$I$100,2,0),"")</f>
        <v/>
      </c>
      <c r="N651" s="89" t="str" cm="1">
        <f t="array" ref="N651">IFERROR(_xlfn.IFS(AND(LEFT(F651,6)="Arbeid",RIGHT(F651,3)&lt;&gt;"IKS"),IFERROR(VLOOKUP($G651,Tb_KostenTypen[],2,0),"tarief"),RIGHT(F651,3)="IKS","Uurtarief",LEFT(F651,6)="Arbeid","Uurtarief",AND(LEFT(F651,8)="Bijdrage",RIGHT(F651,15)="(vrijwilligers)"),"Vast tarief"),"")</f>
        <v/>
      </c>
      <c r="O651" s="90"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0"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1"/>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59"/>
      <c r="Z651" s="49"/>
      <c r="AA651" s="37" t="str" cm="1">
        <f t="array" ref="AA651">IFERROR(IF(INDEX(SubsidieTabel!$Q$1:$T$9,MATCH($F651,SubsidieTabel!$Q$1:$Q$9,0),IFERROR(MATCH(Methode_Keuze,SubsidieTabel!$Q$1:$T$1,0),2))&lt;&gt;1=TRUE,"ja",""),"")</f>
        <v/>
      </c>
    </row>
    <row r="652" spans="1:27" ht="15" customHeight="1" x14ac:dyDescent="0.25">
      <c r="A652" s="85"/>
      <c r="B652" s="217" t="str">
        <f>IF(A652&lt;&gt;"",_xlfn.MAXIFS($B$1:B651,$A$1:A651,A652)+1,"")</f>
        <v/>
      </c>
      <c r="C652" s="50"/>
      <c r="D652" s="50"/>
      <c r="E652" s="50"/>
      <c r="F652" s="50"/>
      <c r="G652" s="280"/>
      <c r="H652" s="293"/>
      <c r="I652" s="292"/>
      <c r="J652" s="292"/>
      <c r="K652" s="200"/>
      <c r="L652" s="200"/>
      <c r="M652" s="89" t="str">
        <f>IFERROR(VLOOKUP(H652,Lijsten!$H$1:$I$100,2,0),"")</f>
        <v/>
      </c>
      <c r="N652" s="89" t="str" cm="1">
        <f t="array" ref="N652">IFERROR(_xlfn.IFS(AND(LEFT(F652,6)="Arbeid",RIGHT(F652,3)&lt;&gt;"IKS"),IFERROR(VLOOKUP($G652,Tb_KostenTypen[],2,0),"tarief"),RIGHT(F652,3)="IKS","Uurtarief",LEFT(F652,6)="Arbeid","Uurtarief",AND(LEFT(F652,8)="Bijdrage",RIGHT(F652,15)="(vrijwilligers)"),"Vast tarief"),"")</f>
        <v/>
      </c>
      <c r="O652" s="90"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0"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1"/>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59"/>
      <c r="Z652" s="49"/>
      <c r="AA652" s="37" t="str" cm="1">
        <f t="array" ref="AA652">IFERROR(IF(INDEX(SubsidieTabel!$Q$1:$T$9,MATCH($F652,SubsidieTabel!$Q$1:$Q$9,0),IFERROR(MATCH(Methode_Keuze,SubsidieTabel!$Q$1:$T$1,0),2))&lt;&gt;1=TRUE,"ja",""),"")</f>
        <v/>
      </c>
    </row>
    <row r="653" spans="1:27" ht="15" customHeight="1" x14ac:dyDescent="0.25">
      <c r="A653" s="85"/>
      <c r="B653" s="217" t="str">
        <f>IF(A653&lt;&gt;"",_xlfn.MAXIFS($B$1:B652,$A$1:A652,A653)+1,"")</f>
        <v/>
      </c>
      <c r="C653" s="50"/>
      <c r="D653" s="50"/>
      <c r="E653" s="50"/>
      <c r="F653" s="50"/>
      <c r="G653" s="280"/>
      <c r="H653" s="293"/>
      <c r="I653" s="292"/>
      <c r="J653" s="292"/>
      <c r="K653" s="200"/>
      <c r="L653" s="200"/>
      <c r="M653" s="89" t="str">
        <f>IFERROR(VLOOKUP(H653,Lijsten!$H$1:$I$100,2,0),"")</f>
        <v/>
      </c>
      <c r="N653" s="89" t="str" cm="1">
        <f t="array" ref="N653">IFERROR(_xlfn.IFS(AND(LEFT(F653,6)="Arbeid",RIGHT(F653,3)&lt;&gt;"IKS"),IFERROR(VLOOKUP($G653,Tb_KostenTypen[],2,0),"tarief"),RIGHT(F653,3)="IKS","Uurtarief",LEFT(F653,6)="Arbeid","Uurtarief",AND(LEFT(F653,8)="Bijdrage",RIGHT(F653,15)="(vrijwilligers)"),"Vast tarief"),"")</f>
        <v/>
      </c>
      <c r="O653" s="90"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0"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1"/>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59"/>
      <c r="Z653" s="49"/>
      <c r="AA653" s="37" t="str" cm="1">
        <f t="array" ref="AA653">IFERROR(IF(INDEX(SubsidieTabel!$Q$1:$T$9,MATCH($F653,SubsidieTabel!$Q$1:$Q$9,0),IFERROR(MATCH(Methode_Keuze,SubsidieTabel!$Q$1:$T$1,0),2))&lt;&gt;1=TRUE,"ja",""),"")</f>
        <v/>
      </c>
    </row>
    <row r="654" spans="1:27" ht="15" customHeight="1" x14ac:dyDescent="0.25">
      <c r="A654" s="85"/>
      <c r="B654" s="217" t="str">
        <f>IF(A654&lt;&gt;"",_xlfn.MAXIFS($B$1:B653,$A$1:A653,A654)+1,"")</f>
        <v/>
      </c>
      <c r="C654" s="50"/>
      <c r="D654" s="50"/>
      <c r="E654" s="50"/>
      <c r="F654" s="50"/>
      <c r="G654" s="280"/>
      <c r="H654" s="293"/>
      <c r="I654" s="292"/>
      <c r="J654" s="292"/>
      <c r="K654" s="200"/>
      <c r="L654" s="200"/>
      <c r="M654" s="89" t="str">
        <f>IFERROR(VLOOKUP(H654,Lijsten!$H$1:$I$100,2,0),"")</f>
        <v/>
      </c>
      <c r="N654" s="89" t="str" cm="1">
        <f t="array" ref="N654">IFERROR(_xlfn.IFS(AND(LEFT(F654,6)="Arbeid",RIGHT(F654,3)&lt;&gt;"IKS"),IFERROR(VLOOKUP($G654,Tb_KostenTypen[],2,0),"tarief"),RIGHT(F654,3)="IKS","Uurtarief",LEFT(F654,6)="Arbeid","Uurtarief",AND(LEFT(F654,8)="Bijdrage",RIGHT(F654,15)="(vrijwilligers)"),"Vast tarief"),"")</f>
        <v/>
      </c>
      <c r="O654" s="90"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0"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1"/>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59"/>
      <c r="Z654" s="49"/>
      <c r="AA654" s="37" t="str" cm="1">
        <f t="array" ref="AA654">IFERROR(IF(INDEX(SubsidieTabel!$Q$1:$T$9,MATCH($F654,SubsidieTabel!$Q$1:$Q$9,0),IFERROR(MATCH(Methode_Keuze,SubsidieTabel!$Q$1:$T$1,0),2))&lt;&gt;1=TRUE,"ja",""),"")</f>
        <v/>
      </c>
    </row>
    <row r="655" spans="1:27" ht="15" customHeight="1" x14ac:dyDescent="0.25">
      <c r="A655" s="85"/>
      <c r="B655" s="217" t="str">
        <f>IF(A655&lt;&gt;"",_xlfn.MAXIFS($B$1:B654,$A$1:A654,A655)+1,"")</f>
        <v/>
      </c>
      <c r="C655" s="50"/>
      <c r="D655" s="50"/>
      <c r="E655" s="50"/>
      <c r="F655" s="50"/>
      <c r="G655" s="280"/>
      <c r="H655" s="293"/>
      <c r="I655" s="292"/>
      <c r="J655" s="292"/>
      <c r="K655" s="200"/>
      <c r="L655" s="200"/>
      <c r="M655" s="89" t="str">
        <f>IFERROR(VLOOKUP(H655,Lijsten!$H$1:$I$100,2,0),"")</f>
        <v/>
      </c>
      <c r="N655" s="89" t="str" cm="1">
        <f t="array" ref="N655">IFERROR(_xlfn.IFS(AND(LEFT(F655,6)="Arbeid",RIGHT(F655,3)&lt;&gt;"IKS"),IFERROR(VLOOKUP($G655,Tb_KostenTypen[],2,0),"tarief"),RIGHT(F655,3)="IKS","Uurtarief",LEFT(F655,6)="Arbeid","Uurtarief",AND(LEFT(F655,8)="Bijdrage",RIGHT(F655,15)="(vrijwilligers)"),"Vast tarief"),"")</f>
        <v/>
      </c>
      <c r="O655" s="90"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0"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1"/>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59"/>
      <c r="Z655" s="49"/>
      <c r="AA655" s="37" t="str" cm="1">
        <f t="array" ref="AA655">IFERROR(IF(INDEX(SubsidieTabel!$Q$1:$T$9,MATCH($F655,SubsidieTabel!$Q$1:$Q$9,0),IFERROR(MATCH(Methode_Keuze,SubsidieTabel!$Q$1:$T$1,0),2))&lt;&gt;1=TRUE,"ja",""),"")</f>
        <v/>
      </c>
    </row>
    <row r="656" spans="1:27" ht="15" customHeight="1" x14ac:dyDescent="0.25">
      <c r="A656" s="85"/>
      <c r="B656" s="217" t="str">
        <f>IF(A656&lt;&gt;"",_xlfn.MAXIFS($B$1:B655,$A$1:A655,A656)+1,"")</f>
        <v/>
      </c>
      <c r="C656" s="50"/>
      <c r="D656" s="50"/>
      <c r="E656" s="50"/>
      <c r="F656" s="50"/>
      <c r="G656" s="280"/>
      <c r="H656" s="293"/>
      <c r="I656" s="292"/>
      <c r="J656" s="292"/>
      <c r="K656" s="200"/>
      <c r="L656" s="200"/>
      <c r="M656" s="89" t="str">
        <f>IFERROR(VLOOKUP(H656,Lijsten!$H$1:$I$100,2,0),"")</f>
        <v/>
      </c>
      <c r="N656" s="89" t="str" cm="1">
        <f t="array" ref="N656">IFERROR(_xlfn.IFS(AND(LEFT(F656,6)="Arbeid",RIGHT(F656,3)&lt;&gt;"IKS"),IFERROR(VLOOKUP($G656,Tb_KostenTypen[],2,0),"tarief"),RIGHT(F656,3)="IKS","Uurtarief",LEFT(F656,6)="Arbeid","Uurtarief",AND(LEFT(F656,8)="Bijdrage",RIGHT(F656,15)="(vrijwilligers)"),"Vast tarief"),"")</f>
        <v/>
      </c>
      <c r="O656" s="90"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0"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1"/>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59"/>
      <c r="Z656" s="49"/>
      <c r="AA656" s="37" t="str" cm="1">
        <f t="array" ref="AA656">IFERROR(IF(INDEX(SubsidieTabel!$Q$1:$T$9,MATCH($F656,SubsidieTabel!$Q$1:$Q$9,0),IFERROR(MATCH(Methode_Keuze,SubsidieTabel!$Q$1:$T$1,0),2))&lt;&gt;1=TRUE,"ja",""),"")</f>
        <v/>
      </c>
    </row>
    <row r="657" spans="1:27" ht="15" customHeight="1" x14ac:dyDescent="0.25">
      <c r="A657" s="85"/>
      <c r="B657" s="217" t="str">
        <f>IF(A657&lt;&gt;"",_xlfn.MAXIFS($B$1:B656,$A$1:A656,A657)+1,"")</f>
        <v/>
      </c>
      <c r="C657" s="50"/>
      <c r="D657" s="50"/>
      <c r="E657" s="50"/>
      <c r="F657" s="50"/>
      <c r="G657" s="280"/>
      <c r="H657" s="293"/>
      <c r="I657" s="292"/>
      <c r="J657" s="292"/>
      <c r="K657" s="200"/>
      <c r="L657" s="200"/>
      <c r="M657" s="89" t="str">
        <f>IFERROR(VLOOKUP(H657,Lijsten!$H$1:$I$100,2,0),"")</f>
        <v/>
      </c>
      <c r="N657" s="89" t="str" cm="1">
        <f t="array" ref="N657">IFERROR(_xlfn.IFS(AND(LEFT(F657,6)="Arbeid",RIGHT(F657,3)&lt;&gt;"IKS"),IFERROR(VLOOKUP($G657,Tb_KostenTypen[],2,0),"tarief"),RIGHT(F657,3)="IKS","Uurtarief",LEFT(F657,6)="Arbeid","Uurtarief",AND(LEFT(F657,8)="Bijdrage",RIGHT(F657,15)="(vrijwilligers)"),"Vast tarief"),"")</f>
        <v/>
      </c>
      <c r="O657" s="90"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0"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1"/>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59"/>
      <c r="Z657" s="49"/>
      <c r="AA657" s="37" t="str" cm="1">
        <f t="array" ref="AA657">IFERROR(IF(INDEX(SubsidieTabel!$Q$1:$T$9,MATCH($F657,SubsidieTabel!$Q$1:$Q$9,0),IFERROR(MATCH(Methode_Keuze,SubsidieTabel!$Q$1:$T$1,0),2))&lt;&gt;1=TRUE,"ja",""),"")</f>
        <v/>
      </c>
    </row>
    <row r="658" spans="1:27" ht="15" customHeight="1" x14ac:dyDescent="0.25">
      <c r="A658" s="85"/>
      <c r="B658" s="217" t="str">
        <f>IF(A658&lt;&gt;"",_xlfn.MAXIFS($B$1:B657,$A$1:A657,A658)+1,"")</f>
        <v/>
      </c>
      <c r="C658" s="50"/>
      <c r="D658" s="50"/>
      <c r="E658" s="50"/>
      <c r="F658" s="50"/>
      <c r="G658" s="280"/>
      <c r="H658" s="293"/>
      <c r="I658" s="292"/>
      <c r="J658" s="292"/>
      <c r="K658" s="200"/>
      <c r="L658" s="200"/>
      <c r="M658" s="89" t="str">
        <f>IFERROR(VLOOKUP(H658,Lijsten!$H$1:$I$100,2,0),"")</f>
        <v/>
      </c>
      <c r="N658" s="89" t="str" cm="1">
        <f t="array" ref="N658">IFERROR(_xlfn.IFS(AND(LEFT(F658,6)="Arbeid",RIGHT(F658,3)&lt;&gt;"IKS"),IFERROR(VLOOKUP($G658,Tb_KostenTypen[],2,0),"tarief"),RIGHT(F658,3)="IKS","Uurtarief",LEFT(F658,6)="Arbeid","Uurtarief",AND(LEFT(F658,8)="Bijdrage",RIGHT(F658,15)="(vrijwilligers)"),"Vast tarief"),"")</f>
        <v/>
      </c>
      <c r="O658" s="90"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0"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1"/>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59"/>
      <c r="Z658" s="49"/>
      <c r="AA658" s="37" t="str" cm="1">
        <f t="array" ref="AA658">IFERROR(IF(INDEX(SubsidieTabel!$Q$1:$T$9,MATCH($F658,SubsidieTabel!$Q$1:$Q$9,0),IFERROR(MATCH(Methode_Keuze,SubsidieTabel!$Q$1:$T$1,0),2))&lt;&gt;1=TRUE,"ja",""),"")</f>
        <v/>
      </c>
    </row>
    <row r="659" spans="1:27" ht="15" customHeight="1" x14ac:dyDescent="0.25">
      <c r="A659" s="85"/>
      <c r="B659" s="217" t="str">
        <f>IF(A659&lt;&gt;"",_xlfn.MAXIFS($B$1:B658,$A$1:A658,A659)+1,"")</f>
        <v/>
      </c>
      <c r="C659" s="50"/>
      <c r="D659" s="50"/>
      <c r="E659" s="50"/>
      <c r="F659" s="50"/>
      <c r="G659" s="280"/>
      <c r="H659" s="293"/>
      <c r="I659" s="292"/>
      <c r="J659" s="292"/>
      <c r="K659" s="200"/>
      <c r="L659" s="200"/>
      <c r="M659" s="89" t="str">
        <f>IFERROR(VLOOKUP(H659,Lijsten!$H$1:$I$100,2,0),"")</f>
        <v/>
      </c>
      <c r="N659" s="89" t="str" cm="1">
        <f t="array" ref="N659">IFERROR(_xlfn.IFS(AND(LEFT(F659,6)="Arbeid",RIGHT(F659,3)&lt;&gt;"IKS"),IFERROR(VLOOKUP($G659,Tb_KostenTypen[],2,0),"tarief"),RIGHT(F659,3)="IKS","Uurtarief",LEFT(F659,6)="Arbeid","Uurtarief",AND(LEFT(F659,8)="Bijdrage",RIGHT(F659,15)="(vrijwilligers)"),"Vast tarief"),"")</f>
        <v/>
      </c>
      <c r="O659" s="90"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0"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1"/>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59"/>
      <c r="Z659" s="49"/>
      <c r="AA659" s="37" t="str" cm="1">
        <f t="array" ref="AA659">IFERROR(IF(INDEX(SubsidieTabel!$Q$1:$T$9,MATCH($F659,SubsidieTabel!$Q$1:$Q$9,0),IFERROR(MATCH(Methode_Keuze,SubsidieTabel!$Q$1:$T$1,0),2))&lt;&gt;1=TRUE,"ja",""),"")</f>
        <v/>
      </c>
    </row>
    <row r="660" spans="1:27" ht="15" customHeight="1" x14ac:dyDescent="0.25">
      <c r="A660" s="85"/>
      <c r="B660" s="217" t="str">
        <f>IF(A660&lt;&gt;"",_xlfn.MAXIFS($B$1:B659,$A$1:A659,A660)+1,"")</f>
        <v/>
      </c>
      <c r="C660" s="50"/>
      <c r="D660" s="50"/>
      <c r="E660" s="50"/>
      <c r="F660" s="50"/>
      <c r="G660" s="280"/>
      <c r="H660" s="293"/>
      <c r="I660" s="292"/>
      <c r="J660" s="292"/>
      <c r="K660" s="200"/>
      <c r="L660" s="200"/>
      <c r="M660" s="89" t="str">
        <f>IFERROR(VLOOKUP(H660,Lijsten!$H$1:$I$100,2,0),"")</f>
        <v/>
      </c>
      <c r="N660" s="89" t="str" cm="1">
        <f t="array" ref="N660">IFERROR(_xlfn.IFS(AND(LEFT(F660,6)="Arbeid",RIGHT(F660,3)&lt;&gt;"IKS"),IFERROR(VLOOKUP($G660,Tb_KostenTypen[],2,0),"tarief"),RIGHT(F660,3)="IKS","Uurtarief",LEFT(F660,6)="Arbeid","Uurtarief",AND(LEFT(F660,8)="Bijdrage",RIGHT(F660,15)="(vrijwilligers)"),"Vast tarief"),"")</f>
        <v/>
      </c>
      <c r="O660" s="90"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0"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1"/>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59"/>
      <c r="Z660" s="49"/>
      <c r="AA660" s="37" t="str" cm="1">
        <f t="array" ref="AA660">IFERROR(IF(INDEX(SubsidieTabel!$Q$1:$T$9,MATCH($F660,SubsidieTabel!$Q$1:$Q$9,0),IFERROR(MATCH(Methode_Keuze,SubsidieTabel!$Q$1:$T$1,0),2))&lt;&gt;1=TRUE,"ja",""),"")</f>
        <v/>
      </c>
    </row>
    <row r="661" spans="1:27" ht="15" customHeight="1" x14ac:dyDescent="0.25">
      <c r="A661" s="85"/>
      <c r="B661" s="217" t="str">
        <f>IF(A661&lt;&gt;"",_xlfn.MAXIFS($B$1:B660,$A$1:A660,A661)+1,"")</f>
        <v/>
      </c>
      <c r="C661" s="50"/>
      <c r="D661" s="50"/>
      <c r="E661" s="50"/>
      <c r="F661" s="50"/>
      <c r="G661" s="280"/>
      <c r="H661" s="293"/>
      <c r="I661" s="292"/>
      <c r="J661" s="292"/>
      <c r="K661" s="200"/>
      <c r="L661" s="200"/>
      <c r="M661" s="89" t="str">
        <f>IFERROR(VLOOKUP(H661,Lijsten!$H$1:$I$100,2,0),"")</f>
        <v/>
      </c>
      <c r="N661" s="89" t="str" cm="1">
        <f t="array" ref="N661">IFERROR(_xlfn.IFS(AND(LEFT(F661,6)="Arbeid",RIGHT(F661,3)&lt;&gt;"IKS"),IFERROR(VLOOKUP($G661,Tb_KostenTypen[],2,0),"tarief"),RIGHT(F661,3)="IKS","Uurtarief",LEFT(F661,6)="Arbeid","Uurtarief",AND(LEFT(F661,8)="Bijdrage",RIGHT(F661,15)="(vrijwilligers)"),"Vast tarief"),"")</f>
        <v/>
      </c>
      <c r="O661" s="90"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0"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1"/>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59"/>
      <c r="Z661" s="49"/>
      <c r="AA661" s="37" t="str" cm="1">
        <f t="array" ref="AA661">IFERROR(IF(INDEX(SubsidieTabel!$Q$1:$T$9,MATCH($F661,SubsidieTabel!$Q$1:$Q$9,0),IFERROR(MATCH(Methode_Keuze,SubsidieTabel!$Q$1:$T$1,0),2))&lt;&gt;1=TRUE,"ja",""),"")</f>
        <v/>
      </c>
    </row>
    <row r="662" spans="1:27" ht="15" customHeight="1" x14ac:dyDescent="0.25">
      <c r="A662" s="85"/>
      <c r="B662" s="217" t="str">
        <f>IF(A662&lt;&gt;"",_xlfn.MAXIFS($B$1:B661,$A$1:A661,A662)+1,"")</f>
        <v/>
      </c>
      <c r="C662" s="50"/>
      <c r="D662" s="50"/>
      <c r="E662" s="50"/>
      <c r="F662" s="50"/>
      <c r="G662" s="280"/>
      <c r="H662" s="293"/>
      <c r="I662" s="292"/>
      <c r="J662" s="292"/>
      <c r="K662" s="200"/>
      <c r="L662" s="200"/>
      <c r="M662" s="89" t="str">
        <f>IFERROR(VLOOKUP(H662,Lijsten!$H$1:$I$100,2,0),"")</f>
        <v/>
      </c>
      <c r="N662" s="89" t="str" cm="1">
        <f t="array" ref="N662">IFERROR(_xlfn.IFS(AND(LEFT(F662,6)="Arbeid",RIGHT(F662,3)&lt;&gt;"IKS"),IFERROR(VLOOKUP($G662,Tb_KostenTypen[],2,0),"tarief"),RIGHT(F662,3)="IKS","Uurtarief",LEFT(F662,6)="Arbeid","Uurtarief",AND(LEFT(F662,8)="Bijdrage",RIGHT(F662,15)="(vrijwilligers)"),"Vast tarief"),"")</f>
        <v/>
      </c>
      <c r="O662" s="90"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0"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1"/>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59"/>
      <c r="Z662" s="49"/>
      <c r="AA662" s="37" t="str" cm="1">
        <f t="array" ref="AA662">IFERROR(IF(INDEX(SubsidieTabel!$Q$1:$T$9,MATCH($F662,SubsidieTabel!$Q$1:$Q$9,0),IFERROR(MATCH(Methode_Keuze,SubsidieTabel!$Q$1:$T$1,0),2))&lt;&gt;1=TRUE,"ja",""),"")</f>
        <v/>
      </c>
    </row>
    <row r="663" spans="1:27" ht="15" customHeight="1" x14ac:dyDescent="0.25">
      <c r="A663" s="85"/>
      <c r="B663" s="217" t="str">
        <f>IF(A663&lt;&gt;"",_xlfn.MAXIFS($B$1:B662,$A$1:A662,A663)+1,"")</f>
        <v/>
      </c>
      <c r="C663" s="50"/>
      <c r="D663" s="50"/>
      <c r="E663" s="50"/>
      <c r="F663" s="50"/>
      <c r="G663" s="280"/>
      <c r="H663" s="293"/>
      <c r="I663" s="292"/>
      <c r="J663" s="292"/>
      <c r="K663" s="200"/>
      <c r="L663" s="200"/>
      <c r="M663" s="89" t="str">
        <f>IFERROR(VLOOKUP(H663,Lijsten!$H$1:$I$100,2,0),"")</f>
        <v/>
      </c>
      <c r="N663" s="89" t="str" cm="1">
        <f t="array" ref="N663">IFERROR(_xlfn.IFS(AND(LEFT(F663,6)="Arbeid",RIGHT(F663,3)&lt;&gt;"IKS"),IFERROR(VLOOKUP($G663,Tb_KostenTypen[],2,0),"tarief"),RIGHT(F663,3)="IKS","Uurtarief",LEFT(F663,6)="Arbeid","Uurtarief",AND(LEFT(F663,8)="Bijdrage",RIGHT(F663,15)="(vrijwilligers)"),"Vast tarief"),"")</f>
        <v/>
      </c>
      <c r="O663" s="90"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0"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1"/>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59"/>
      <c r="Z663" s="49"/>
      <c r="AA663" s="37" t="str" cm="1">
        <f t="array" ref="AA663">IFERROR(IF(INDEX(SubsidieTabel!$Q$1:$T$9,MATCH($F663,SubsidieTabel!$Q$1:$Q$9,0),IFERROR(MATCH(Methode_Keuze,SubsidieTabel!$Q$1:$T$1,0),2))&lt;&gt;1=TRUE,"ja",""),"")</f>
        <v/>
      </c>
    </row>
    <row r="664" spans="1:27" ht="15" customHeight="1" x14ac:dyDescent="0.25">
      <c r="A664" s="85"/>
      <c r="B664" s="217" t="str">
        <f>IF(A664&lt;&gt;"",_xlfn.MAXIFS($B$1:B663,$A$1:A663,A664)+1,"")</f>
        <v/>
      </c>
      <c r="C664" s="50"/>
      <c r="D664" s="50"/>
      <c r="E664" s="50"/>
      <c r="F664" s="50"/>
      <c r="G664" s="280"/>
      <c r="H664" s="293"/>
      <c r="I664" s="292"/>
      <c r="J664" s="292"/>
      <c r="K664" s="200"/>
      <c r="L664" s="200"/>
      <c r="M664" s="89" t="str">
        <f>IFERROR(VLOOKUP(H664,Lijsten!$H$1:$I$100,2,0),"")</f>
        <v/>
      </c>
      <c r="N664" s="89" t="str" cm="1">
        <f t="array" ref="N664">IFERROR(_xlfn.IFS(AND(LEFT(F664,6)="Arbeid",RIGHT(F664,3)&lt;&gt;"IKS"),IFERROR(VLOOKUP($G664,Tb_KostenTypen[],2,0),"tarief"),RIGHT(F664,3)="IKS","Uurtarief",LEFT(F664,6)="Arbeid","Uurtarief",AND(LEFT(F664,8)="Bijdrage",RIGHT(F664,15)="(vrijwilligers)"),"Vast tarief"),"")</f>
        <v/>
      </c>
      <c r="O664" s="90"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0"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1"/>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59"/>
      <c r="Z664" s="49"/>
      <c r="AA664" s="37" t="str" cm="1">
        <f t="array" ref="AA664">IFERROR(IF(INDEX(SubsidieTabel!$Q$1:$T$9,MATCH($F664,SubsidieTabel!$Q$1:$Q$9,0),IFERROR(MATCH(Methode_Keuze,SubsidieTabel!$Q$1:$T$1,0),2))&lt;&gt;1=TRUE,"ja",""),"")</f>
        <v/>
      </c>
    </row>
    <row r="665" spans="1:27" ht="15" customHeight="1" x14ac:dyDescent="0.25">
      <c r="A665" s="85"/>
      <c r="B665" s="217" t="str">
        <f>IF(A665&lt;&gt;"",_xlfn.MAXIFS($B$1:B664,$A$1:A664,A665)+1,"")</f>
        <v/>
      </c>
      <c r="C665" s="50"/>
      <c r="D665" s="50"/>
      <c r="E665" s="50"/>
      <c r="F665" s="50"/>
      <c r="G665" s="280"/>
      <c r="H665" s="293"/>
      <c r="I665" s="292"/>
      <c r="J665" s="292"/>
      <c r="K665" s="200"/>
      <c r="L665" s="200"/>
      <c r="M665" s="89" t="str">
        <f>IFERROR(VLOOKUP(H665,Lijsten!$H$1:$I$100,2,0),"")</f>
        <v/>
      </c>
      <c r="N665" s="89" t="str" cm="1">
        <f t="array" ref="N665">IFERROR(_xlfn.IFS(AND(LEFT(F665,6)="Arbeid",RIGHT(F665,3)&lt;&gt;"IKS"),IFERROR(VLOOKUP($G665,Tb_KostenTypen[],2,0),"tarief"),RIGHT(F665,3)="IKS","Uurtarief",LEFT(F665,6)="Arbeid","Uurtarief",AND(LEFT(F665,8)="Bijdrage",RIGHT(F665,15)="(vrijwilligers)"),"Vast tarief"),"")</f>
        <v/>
      </c>
      <c r="O665" s="90"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0"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1"/>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59"/>
      <c r="Z665" s="49"/>
      <c r="AA665" s="37" t="str" cm="1">
        <f t="array" ref="AA665">IFERROR(IF(INDEX(SubsidieTabel!$Q$1:$T$9,MATCH($F665,SubsidieTabel!$Q$1:$Q$9,0),IFERROR(MATCH(Methode_Keuze,SubsidieTabel!$Q$1:$T$1,0),2))&lt;&gt;1=TRUE,"ja",""),"")</f>
        <v/>
      </c>
    </row>
    <row r="666" spans="1:27" ht="15" customHeight="1" x14ac:dyDescent="0.25">
      <c r="A666" s="85"/>
      <c r="B666" s="217" t="str">
        <f>IF(A666&lt;&gt;"",_xlfn.MAXIFS($B$1:B665,$A$1:A665,A666)+1,"")</f>
        <v/>
      </c>
      <c r="C666" s="50"/>
      <c r="D666" s="50"/>
      <c r="E666" s="50"/>
      <c r="F666" s="50"/>
      <c r="G666" s="280"/>
      <c r="H666" s="293"/>
      <c r="I666" s="292"/>
      <c r="J666" s="292"/>
      <c r="K666" s="200"/>
      <c r="L666" s="200"/>
      <c r="M666" s="89" t="str">
        <f>IFERROR(VLOOKUP(H666,Lijsten!$H$1:$I$100,2,0),"")</f>
        <v/>
      </c>
      <c r="N666" s="89" t="str" cm="1">
        <f t="array" ref="N666">IFERROR(_xlfn.IFS(AND(LEFT(F666,6)="Arbeid",RIGHT(F666,3)&lt;&gt;"IKS"),IFERROR(VLOOKUP($G666,Tb_KostenTypen[],2,0),"tarief"),RIGHT(F666,3)="IKS","Uurtarief",LEFT(F666,6)="Arbeid","Uurtarief",AND(LEFT(F666,8)="Bijdrage",RIGHT(F666,15)="(vrijwilligers)"),"Vast tarief"),"")</f>
        <v/>
      </c>
      <c r="O666" s="90"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0"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1"/>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59"/>
      <c r="Z666" s="49"/>
      <c r="AA666" s="37" t="str" cm="1">
        <f t="array" ref="AA666">IFERROR(IF(INDEX(SubsidieTabel!$Q$1:$T$9,MATCH($F666,SubsidieTabel!$Q$1:$Q$9,0),IFERROR(MATCH(Methode_Keuze,SubsidieTabel!$Q$1:$T$1,0),2))&lt;&gt;1=TRUE,"ja",""),"")</f>
        <v/>
      </c>
    </row>
    <row r="667" spans="1:27" ht="15" customHeight="1" x14ac:dyDescent="0.25">
      <c r="A667" s="85"/>
      <c r="B667" s="217" t="str">
        <f>IF(A667&lt;&gt;"",_xlfn.MAXIFS($B$1:B666,$A$1:A666,A667)+1,"")</f>
        <v/>
      </c>
      <c r="C667" s="50"/>
      <c r="D667" s="50"/>
      <c r="E667" s="50"/>
      <c r="F667" s="50"/>
      <c r="G667" s="280"/>
      <c r="H667" s="293"/>
      <c r="I667" s="292"/>
      <c r="J667" s="292"/>
      <c r="K667" s="200"/>
      <c r="L667" s="200"/>
      <c r="M667" s="89" t="str">
        <f>IFERROR(VLOOKUP(H667,Lijsten!$H$1:$I$100,2,0),"")</f>
        <v/>
      </c>
      <c r="N667" s="89" t="str" cm="1">
        <f t="array" ref="N667">IFERROR(_xlfn.IFS(AND(LEFT(F667,6)="Arbeid",RIGHT(F667,3)&lt;&gt;"IKS"),IFERROR(VLOOKUP($G667,Tb_KostenTypen[],2,0),"tarief"),RIGHT(F667,3)="IKS","Uurtarief",LEFT(F667,6)="Arbeid","Uurtarief",AND(LEFT(F667,8)="Bijdrage",RIGHT(F667,15)="(vrijwilligers)"),"Vast tarief"),"")</f>
        <v/>
      </c>
      <c r="O667" s="90"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0"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1"/>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59"/>
      <c r="Z667" s="49"/>
      <c r="AA667" s="37" t="str" cm="1">
        <f t="array" ref="AA667">IFERROR(IF(INDEX(SubsidieTabel!$Q$1:$T$9,MATCH($F667,SubsidieTabel!$Q$1:$Q$9,0),IFERROR(MATCH(Methode_Keuze,SubsidieTabel!$Q$1:$T$1,0),2))&lt;&gt;1=TRUE,"ja",""),"")</f>
        <v/>
      </c>
    </row>
    <row r="668" spans="1:27" ht="15" customHeight="1" x14ac:dyDescent="0.25">
      <c r="A668" s="85"/>
      <c r="B668" s="217" t="str">
        <f>IF(A668&lt;&gt;"",_xlfn.MAXIFS($B$1:B667,$A$1:A667,A668)+1,"")</f>
        <v/>
      </c>
      <c r="C668" s="50"/>
      <c r="D668" s="50"/>
      <c r="E668" s="50"/>
      <c r="F668" s="50"/>
      <c r="G668" s="280"/>
      <c r="H668" s="293"/>
      <c r="I668" s="292"/>
      <c r="J668" s="292"/>
      <c r="K668" s="200"/>
      <c r="L668" s="200"/>
      <c r="M668" s="89" t="str">
        <f>IFERROR(VLOOKUP(H668,Lijsten!$H$1:$I$100,2,0),"")</f>
        <v/>
      </c>
      <c r="N668" s="89" t="str" cm="1">
        <f t="array" ref="N668">IFERROR(_xlfn.IFS(AND(LEFT(F668,6)="Arbeid",RIGHT(F668,3)&lt;&gt;"IKS"),IFERROR(VLOOKUP($G668,Tb_KostenTypen[],2,0),"tarief"),RIGHT(F668,3)="IKS","Uurtarief",LEFT(F668,6)="Arbeid","Uurtarief",AND(LEFT(F668,8)="Bijdrage",RIGHT(F668,15)="(vrijwilligers)"),"Vast tarief"),"")</f>
        <v/>
      </c>
      <c r="O668" s="90"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0"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1"/>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59"/>
      <c r="Z668" s="49"/>
      <c r="AA668" s="37" t="str" cm="1">
        <f t="array" ref="AA668">IFERROR(IF(INDEX(SubsidieTabel!$Q$1:$T$9,MATCH($F668,SubsidieTabel!$Q$1:$Q$9,0),IFERROR(MATCH(Methode_Keuze,SubsidieTabel!$Q$1:$T$1,0),2))&lt;&gt;1=TRUE,"ja",""),"")</f>
        <v/>
      </c>
    </row>
    <row r="669" spans="1:27" ht="15" customHeight="1" x14ac:dyDescent="0.25">
      <c r="A669" s="85"/>
      <c r="B669" s="217" t="str">
        <f>IF(A669&lt;&gt;"",_xlfn.MAXIFS($B$1:B668,$A$1:A668,A669)+1,"")</f>
        <v/>
      </c>
      <c r="C669" s="50"/>
      <c r="D669" s="50"/>
      <c r="E669" s="50"/>
      <c r="F669" s="50"/>
      <c r="G669" s="280"/>
      <c r="H669" s="293"/>
      <c r="I669" s="292"/>
      <c r="J669" s="292"/>
      <c r="K669" s="200"/>
      <c r="L669" s="200"/>
      <c r="M669" s="89" t="str">
        <f>IFERROR(VLOOKUP(H669,Lijsten!$H$1:$I$100,2,0),"")</f>
        <v/>
      </c>
      <c r="N669" s="89" t="str" cm="1">
        <f t="array" ref="N669">IFERROR(_xlfn.IFS(AND(LEFT(F669,6)="Arbeid",RIGHT(F669,3)&lt;&gt;"IKS"),IFERROR(VLOOKUP($G669,Tb_KostenTypen[],2,0),"tarief"),RIGHT(F669,3)="IKS","Uurtarief",LEFT(F669,6)="Arbeid","Uurtarief",AND(LEFT(F669,8)="Bijdrage",RIGHT(F669,15)="(vrijwilligers)"),"Vast tarief"),"")</f>
        <v/>
      </c>
      <c r="O669" s="90"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0"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1"/>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59"/>
      <c r="Z669" s="49"/>
      <c r="AA669" s="37" t="str" cm="1">
        <f t="array" ref="AA669">IFERROR(IF(INDEX(SubsidieTabel!$Q$1:$T$9,MATCH($F669,SubsidieTabel!$Q$1:$Q$9,0),IFERROR(MATCH(Methode_Keuze,SubsidieTabel!$Q$1:$T$1,0),2))&lt;&gt;1=TRUE,"ja",""),"")</f>
        <v/>
      </c>
    </row>
    <row r="670" spans="1:27" ht="15" customHeight="1" x14ac:dyDescent="0.25">
      <c r="A670" s="85"/>
      <c r="B670" s="217" t="str">
        <f>IF(A670&lt;&gt;"",_xlfn.MAXIFS($B$1:B669,$A$1:A669,A670)+1,"")</f>
        <v/>
      </c>
      <c r="C670" s="50"/>
      <c r="D670" s="50"/>
      <c r="E670" s="50"/>
      <c r="F670" s="50"/>
      <c r="G670" s="280"/>
      <c r="H670" s="293"/>
      <c r="I670" s="292"/>
      <c r="J670" s="292"/>
      <c r="K670" s="200"/>
      <c r="L670" s="200"/>
      <c r="M670" s="89" t="str">
        <f>IFERROR(VLOOKUP(H670,Lijsten!$H$1:$I$100,2,0),"")</f>
        <v/>
      </c>
      <c r="N670" s="89" t="str" cm="1">
        <f t="array" ref="N670">IFERROR(_xlfn.IFS(AND(LEFT(F670,6)="Arbeid",RIGHT(F670,3)&lt;&gt;"IKS"),IFERROR(VLOOKUP($G670,Tb_KostenTypen[],2,0),"tarief"),RIGHT(F670,3)="IKS","Uurtarief",LEFT(F670,6)="Arbeid","Uurtarief",AND(LEFT(F670,8)="Bijdrage",RIGHT(F670,15)="(vrijwilligers)"),"Vast tarief"),"")</f>
        <v/>
      </c>
      <c r="O670" s="90"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0"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1"/>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59"/>
      <c r="Z670" s="49"/>
      <c r="AA670" s="37" t="str" cm="1">
        <f t="array" ref="AA670">IFERROR(IF(INDEX(SubsidieTabel!$Q$1:$T$9,MATCH($F670,SubsidieTabel!$Q$1:$Q$9,0),IFERROR(MATCH(Methode_Keuze,SubsidieTabel!$Q$1:$T$1,0),2))&lt;&gt;1=TRUE,"ja",""),"")</f>
        <v/>
      </c>
    </row>
    <row r="671" spans="1:27" ht="15" customHeight="1" x14ac:dyDescent="0.25">
      <c r="A671" s="85"/>
      <c r="B671" s="217" t="str">
        <f>IF(A671&lt;&gt;"",_xlfn.MAXIFS($B$1:B670,$A$1:A670,A671)+1,"")</f>
        <v/>
      </c>
      <c r="C671" s="50"/>
      <c r="D671" s="50"/>
      <c r="E671" s="50"/>
      <c r="F671" s="50"/>
      <c r="G671" s="280"/>
      <c r="H671" s="293"/>
      <c r="I671" s="292"/>
      <c r="J671" s="292"/>
      <c r="K671" s="200"/>
      <c r="L671" s="200"/>
      <c r="M671" s="89" t="str">
        <f>IFERROR(VLOOKUP(H671,Lijsten!$H$1:$I$100,2,0),"")</f>
        <v/>
      </c>
      <c r="N671" s="89" t="str" cm="1">
        <f t="array" ref="N671">IFERROR(_xlfn.IFS(AND(LEFT(F671,6)="Arbeid",RIGHT(F671,3)&lt;&gt;"IKS"),IFERROR(VLOOKUP($G671,Tb_KostenTypen[],2,0),"tarief"),RIGHT(F671,3)="IKS","Uurtarief",LEFT(F671,6)="Arbeid","Uurtarief",AND(LEFT(F671,8)="Bijdrage",RIGHT(F671,15)="(vrijwilligers)"),"Vast tarief"),"")</f>
        <v/>
      </c>
      <c r="O671" s="90"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0"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1"/>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59"/>
      <c r="Z671" s="49"/>
      <c r="AA671" s="37" t="str" cm="1">
        <f t="array" ref="AA671">IFERROR(IF(INDEX(SubsidieTabel!$Q$1:$T$9,MATCH($F671,SubsidieTabel!$Q$1:$Q$9,0),IFERROR(MATCH(Methode_Keuze,SubsidieTabel!$Q$1:$T$1,0),2))&lt;&gt;1=TRUE,"ja",""),"")</f>
        <v/>
      </c>
    </row>
    <row r="672" spans="1:27" ht="15" customHeight="1" x14ac:dyDescent="0.25">
      <c r="A672" s="85"/>
      <c r="B672" s="217" t="str">
        <f>IF(A672&lt;&gt;"",_xlfn.MAXIFS($B$1:B671,$A$1:A671,A672)+1,"")</f>
        <v/>
      </c>
      <c r="C672" s="50"/>
      <c r="D672" s="50"/>
      <c r="E672" s="50"/>
      <c r="F672" s="50"/>
      <c r="G672" s="280"/>
      <c r="H672" s="293"/>
      <c r="I672" s="292"/>
      <c r="J672" s="292"/>
      <c r="K672" s="200"/>
      <c r="L672" s="200"/>
      <c r="M672" s="89" t="str">
        <f>IFERROR(VLOOKUP(H672,Lijsten!$H$1:$I$100,2,0),"")</f>
        <v/>
      </c>
      <c r="N672" s="89" t="str" cm="1">
        <f t="array" ref="N672">IFERROR(_xlfn.IFS(AND(LEFT(F672,6)="Arbeid",RIGHT(F672,3)&lt;&gt;"IKS"),IFERROR(VLOOKUP($G672,Tb_KostenTypen[],2,0),"tarief"),RIGHT(F672,3)="IKS","Uurtarief",LEFT(F672,6)="Arbeid","Uurtarief",AND(LEFT(F672,8)="Bijdrage",RIGHT(F672,15)="(vrijwilligers)"),"Vast tarief"),"")</f>
        <v/>
      </c>
      <c r="O672" s="90"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0"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1"/>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59"/>
      <c r="Z672" s="49"/>
      <c r="AA672" s="37" t="str" cm="1">
        <f t="array" ref="AA672">IFERROR(IF(INDEX(SubsidieTabel!$Q$1:$T$9,MATCH($F672,SubsidieTabel!$Q$1:$Q$9,0),IFERROR(MATCH(Methode_Keuze,SubsidieTabel!$Q$1:$T$1,0),2))&lt;&gt;1=TRUE,"ja",""),"")</f>
        <v/>
      </c>
    </row>
    <row r="673" spans="1:27" ht="15" customHeight="1" x14ac:dyDescent="0.25">
      <c r="A673" s="85"/>
      <c r="B673" s="217" t="str">
        <f>IF(A673&lt;&gt;"",_xlfn.MAXIFS($B$1:B672,$A$1:A672,A673)+1,"")</f>
        <v/>
      </c>
      <c r="C673" s="50"/>
      <c r="D673" s="50"/>
      <c r="E673" s="50"/>
      <c r="F673" s="50"/>
      <c r="G673" s="280"/>
      <c r="H673" s="293"/>
      <c r="I673" s="292"/>
      <c r="J673" s="292"/>
      <c r="K673" s="200"/>
      <c r="L673" s="200"/>
      <c r="M673" s="89" t="str">
        <f>IFERROR(VLOOKUP(H673,Lijsten!$H$1:$I$100,2,0),"")</f>
        <v/>
      </c>
      <c r="N673" s="89" t="str" cm="1">
        <f t="array" ref="N673">IFERROR(_xlfn.IFS(AND(LEFT(F673,6)="Arbeid",RIGHT(F673,3)&lt;&gt;"IKS"),IFERROR(VLOOKUP($G673,Tb_KostenTypen[],2,0),"tarief"),RIGHT(F673,3)="IKS","Uurtarief",LEFT(F673,6)="Arbeid","Uurtarief",AND(LEFT(F673,8)="Bijdrage",RIGHT(F673,15)="(vrijwilligers)"),"Vast tarief"),"")</f>
        <v/>
      </c>
      <c r="O673" s="90"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0"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1"/>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59"/>
      <c r="Z673" s="49"/>
      <c r="AA673" s="37" t="str" cm="1">
        <f t="array" ref="AA673">IFERROR(IF(INDEX(SubsidieTabel!$Q$1:$T$9,MATCH($F673,SubsidieTabel!$Q$1:$Q$9,0),IFERROR(MATCH(Methode_Keuze,SubsidieTabel!$Q$1:$T$1,0),2))&lt;&gt;1=TRUE,"ja",""),"")</f>
        <v/>
      </c>
    </row>
    <row r="674" spans="1:27" ht="15" customHeight="1" x14ac:dyDescent="0.25">
      <c r="A674" s="85"/>
      <c r="B674" s="217" t="str">
        <f>IF(A674&lt;&gt;"",_xlfn.MAXIFS($B$1:B673,$A$1:A673,A674)+1,"")</f>
        <v/>
      </c>
      <c r="C674" s="50"/>
      <c r="D674" s="50"/>
      <c r="E674" s="50"/>
      <c r="F674" s="50"/>
      <c r="G674" s="280"/>
      <c r="H674" s="293"/>
      <c r="I674" s="292"/>
      <c r="J674" s="292"/>
      <c r="K674" s="200"/>
      <c r="L674" s="200"/>
      <c r="M674" s="89" t="str">
        <f>IFERROR(VLOOKUP(H674,Lijsten!$H$1:$I$100,2,0),"")</f>
        <v/>
      </c>
      <c r="N674" s="89" t="str" cm="1">
        <f t="array" ref="N674">IFERROR(_xlfn.IFS(AND(LEFT(F674,6)="Arbeid",RIGHT(F674,3)&lt;&gt;"IKS"),IFERROR(VLOOKUP($G674,Tb_KostenTypen[],2,0),"tarief"),RIGHT(F674,3)="IKS","Uurtarief",LEFT(F674,6)="Arbeid","Uurtarief",AND(LEFT(F674,8)="Bijdrage",RIGHT(F674,15)="(vrijwilligers)"),"Vast tarief"),"")</f>
        <v/>
      </c>
      <c r="O674" s="90"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0"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1"/>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59"/>
      <c r="Z674" s="49"/>
      <c r="AA674" s="37" t="str" cm="1">
        <f t="array" ref="AA674">IFERROR(IF(INDEX(SubsidieTabel!$Q$1:$T$9,MATCH($F674,SubsidieTabel!$Q$1:$Q$9,0),IFERROR(MATCH(Methode_Keuze,SubsidieTabel!$Q$1:$T$1,0),2))&lt;&gt;1=TRUE,"ja",""),"")</f>
        <v/>
      </c>
    </row>
    <row r="675" spans="1:27" ht="15" customHeight="1" x14ac:dyDescent="0.25">
      <c r="A675" s="85"/>
      <c r="B675" s="217" t="str">
        <f>IF(A675&lt;&gt;"",_xlfn.MAXIFS($B$1:B674,$A$1:A674,A675)+1,"")</f>
        <v/>
      </c>
      <c r="C675" s="50"/>
      <c r="D675" s="50"/>
      <c r="E675" s="50"/>
      <c r="F675" s="50"/>
      <c r="G675" s="280"/>
      <c r="H675" s="293"/>
      <c r="I675" s="292"/>
      <c r="J675" s="292"/>
      <c r="K675" s="200"/>
      <c r="L675" s="200"/>
      <c r="M675" s="89" t="str">
        <f>IFERROR(VLOOKUP(H675,Lijsten!$H$1:$I$100,2,0),"")</f>
        <v/>
      </c>
      <c r="N675" s="89" t="str" cm="1">
        <f t="array" ref="N675">IFERROR(_xlfn.IFS(AND(LEFT(F675,6)="Arbeid",RIGHT(F675,3)&lt;&gt;"IKS"),IFERROR(VLOOKUP($G675,Tb_KostenTypen[],2,0),"tarief"),RIGHT(F675,3)="IKS","Uurtarief",LEFT(F675,6)="Arbeid","Uurtarief",AND(LEFT(F675,8)="Bijdrage",RIGHT(F675,15)="(vrijwilligers)"),"Vast tarief"),"")</f>
        <v/>
      </c>
      <c r="O675" s="90"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0"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1"/>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59"/>
      <c r="Z675" s="49"/>
      <c r="AA675" s="37" t="str" cm="1">
        <f t="array" ref="AA675">IFERROR(IF(INDEX(SubsidieTabel!$Q$1:$T$9,MATCH($F675,SubsidieTabel!$Q$1:$Q$9,0),IFERROR(MATCH(Methode_Keuze,SubsidieTabel!$Q$1:$T$1,0),2))&lt;&gt;1=TRUE,"ja",""),"")</f>
        <v/>
      </c>
    </row>
    <row r="676" spans="1:27" ht="15" customHeight="1" x14ac:dyDescent="0.25">
      <c r="A676" s="85"/>
      <c r="B676" s="217" t="str">
        <f>IF(A676&lt;&gt;"",_xlfn.MAXIFS($B$1:B675,$A$1:A675,A676)+1,"")</f>
        <v/>
      </c>
      <c r="C676" s="50"/>
      <c r="D676" s="50"/>
      <c r="E676" s="50"/>
      <c r="F676" s="50"/>
      <c r="G676" s="280"/>
      <c r="H676" s="293"/>
      <c r="I676" s="292"/>
      <c r="J676" s="292"/>
      <c r="K676" s="200"/>
      <c r="L676" s="200"/>
      <c r="M676" s="89" t="str">
        <f>IFERROR(VLOOKUP(H676,Lijsten!$H$1:$I$100,2,0),"")</f>
        <v/>
      </c>
      <c r="N676" s="89" t="str" cm="1">
        <f t="array" ref="N676">IFERROR(_xlfn.IFS(AND(LEFT(F676,6)="Arbeid",RIGHT(F676,3)&lt;&gt;"IKS"),IFERROR(VLOOKUP($G676,Tb_KostenTypen[],2,0),"tarief"),RIGHT(F676,3)="IKS","Uurtarief",LEFT(F676,6)="Arbeid","Uurtarief",AND(LEFT(F676,8)="Bijdrage",RIGHT(F676,15)="(vrijwilligers)"),"Vast tarief"),"")</f>
        <v/>
      </c>
      <c r="O676" s="90"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0"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1"/>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59"/>
      <c r="Z676" s="49"/>
      <c r="AA676" s="37" t="str" cm="1">
        <f t="array" ref="AA676">IFERROR(IF(INDEX(SubsidieTabel!$Q$1:$T$9,MATCH($F676,SubsidieTabel!$Q$1:$Q$9,0),IFERROR(MATCH(Methode_Keuze,SubsidieTabel!$Q$1:$T$1,0),2))&lt;&gt;1=TRUE,"ja",""),"")</f>
        <v/>
      </c>
    </row>
    <row r="677" spans="1:27" ht="15" customHeight="1" x14ac:dyDescent="0.25">
      <c r="A677" s="85"/>
      <c r="B677" s="217" t="str">
        <f>IF(A677&lt;&gt;"",_xlfn.MAXIFS($B$1:B676,$A$1:A676,A677)+1,"")</f>
        <v/>
      </c>
      <c r="C677" s="50"/>
      <c r="D677" s="50"/>
      <c r="E677" s="50"/>
      <c r="F677" s="50"/>
      <c r="G677" s="280"/>
      <c r="H677" s="293"/>
      <c r="I677" s="292"/>
      <c r="J677" s="292"/>
      <c r="K677" s="200"/>
      <c r="L677" s="200"/>
      <c r="M677" s="89" t="str">
        <f>IFERROR(VLOOKUP(H677,Lijsten!$H$1:$I$100,2,0),"")</f>
        <v/>
      </c>
      <c r="N677" s="89" t="str" cm="1">
        <f t="array" ref="N677">IFERROR(_xlfn.IFS(AND(LEFT(F677,6)="Arbeid",RIGHT(F677,3)&lt;&gt;"IKS"),IFERROR(VLOOKUP($G677,Tb_KostenTypen[],2,0),"tarief"),RIGHT(F677,3)="IKS","Uurtarief",LEFT(F677,6)="Arbeid","Uurtarief",AND(LEFT(F677,8)="Bijdrage",RIGHT(F677,15)="(vrijwilligers)"),"Vast tarief"),"")</f>
        <v/>
      </c>
      <c r="O677" s="90"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0"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1"/>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59"/>
      <c r="Z677" s="49"/>
      <c r="AA677" s="37" t="str" cm="1">
        <f t="array" ref="AA677">IFERROR(IF(INDEX(SubsidieTabel!$Q$1:$T$9,MATCH($F677,SubsidieTabel!$Q$1:$Q$9,0),IFERROR(MATCH(Methode_Keuze,SubsidieTabel!$Q$1:$T$1,0),2))&lt;&gt;1=TRUE,"ja",""),"")</f>
        <v/>
      </c>
    </row>
    <row r="678" spans="1:27" ht="15" customHeight="1" x14ac:dyDescent="0.25">
      <c r="A678" s="85"/>
      <c r="B678" s="217" t="str">
        <f>IF(A678&lt;&gt;"",_xlfn.MAXIFS($B$1:B677,$A$1:A677,A678)+1,"")</f>
        <v/>
      </c>
      <c r="C678" s="50"/>
      <c r="D678" s="50"/>
      <c r="E678" s="50"/>
      <c r="F678" s="50"/>
      <c r="G678" s="280"/>
      <c r="H678" s="293"/>
      <c r="I678" s="292"/>
      <c r="J678" s="292"/>
      <c r="K678" s="200"/>
      <c r="L678" s="200"/>
      <c r="M678" s="89" t="str">
        <f>IFERROR(VLOOKUP(H678,Lijsten!$H$1:$I$100,2,0),"")</f>
        <v/>
      </c>
      <c r="N678" s="89" t="str" cm="1">
        <f t="array" ref="N678">IFERROR(_xlfn.IFS(AND(LEFT(F678,6)="Arbeid",RIGHT(F678,3)&lt;&gt;"IKS"),IFERROR(VLOOKUP($G678,Tb_KostenTypen[],2,0),"tarief"),RIGHT(F678,3)="IKS","Uurtarief",LEFT(F678,6)="Arbeid","Uurtarief",AND(LEFT(F678,8)="Bijdrage",RIGHT(F678,15)="(vrijwilligers)"),"Vast tarief"),"")</f>
        <v/>
      </c>
      <c r="O678" s="90"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0"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1"/>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59"/>
      <c r="Z678" s="49"/>
      <c r="AA678" s="37" t="str" cm="1">
        <f t="array" ref="AA678">IFERROR(IF(INDEX(SubsidieTabel!$Q$1:$T$9,MATCH($F678,SubsidieTabel!$Q$1:$Q$9,0),IFERROR(MATCH(Methode_Keuze,SubsidieTabel!$Q$1:$T$1,0),2))&lt;&gt;1=TRUE,"ja",""),"")</f>
        <v/>
      </c>
    </row>
    <row r="679" spans="1:27" ht="15" customHeight="1" x14ac:dyDescent="0.25">
      <c r="A679" s="85"/>
      <c r="B679" s="217" t="str">
        <f>IF(A679&lt;&gt;"",_xlfn.MAXIFS($B$1:B678,$A$1:A678,A679)+1,"")</f>
        <v/>
      </c>
      <c r="C679" s="50"/>
      <c r="D679" s="50"/>
      <c r="E679" s="50"/>
      <c r="F679" s="50"/>
      <c r="G679" s="280"/>
      <c r="H679" s="293"/>
      <c r="I679" s="292"/>
      <c r="J679" s="292"/>
      <c r="K679" s="200"/>
      <c r="L679" s="200"/>
      <c r="M679" s="89" t="str">
        <f>IFERROR(VLOOKUP(H679,Lijsten!$H$1:$I$100,2,0),"")</f>
        <v/>
      </c>
      <c r="N679" s="89" t="str" cm="1">
        <f t="array" ref="N679">IFERROR(_xlfn.IFS(AND(LEFT(F679,6)="Arbeid",RIGHT(F679,3)&lt;&gt;"IKS"),IFERROR(VLOOKUP($G679,Tb_KostenTypen[],2,0),"tarief"),RIGHT(F679,3)="IKS","Uurtarief",LEFT(F679,6)="Arbeid","Uurtarief",AND(LEFT(F679,8)="Bijdrage",RIGHT(F679,15)="(vrijwilligers)"),"Vast tarief"),"")</f>
        <v/>
      </c>
      <c r="O679" s="90"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0"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1"/>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59"/>
      <c r="Z679" s="49"/>
      <c r="AA679" s="37" t="str" cm="1">
        <f t="array" ref="AA679">IFERROR(IF(INDEX(SubsidieTabel!$Q$1:$T$9,MATCH($F679,SubsidieTabel!$Q$1:$Q$9,0),IFERROR(MATCH(Methode_Keuze,SubsidieTabel!$Q$1:$T$1,0),2))&lt;&gt;1=TRUE,"ja",""),"")</f>
        <v/>
      </c>
    </row>
    <row r="680" spans="1:27" ht="15" customHeight="1" x14ac:dyDescent="0.25">
      <c r="A680" s="85"/>
      <c r="B680" s="217" t="str">
        <f>IF(A680&lt;&gt;"",_xlfn.MAXIFS($B$1:B679,$A$1:A679,A680)+1,"")</f>
        <v/>
      </c>
      <c r="C680" s="50"/>
      <c r="D680" s="50"/>
      <c r="E680" s="50"/>
      <c r="F680" s="50"/>
      <c r="G680" s="280"/>
      <c r="H680" s="293"/>
      <c r="I680" s="292"/>
      <c r="J680" s="292"/>
      <c r="K680" s="200"/>
      <c r="L680" s="200"/>
      <c r="M680" s="89" t="str">
        <f>IFERROR(VLOOKUP(H680,Lijsten!$H$1:$I$100,2,0),"")</f>
        <v/>
      </c>
      <c r="N680" s="89" t="str" cm="1">
        <f t="array" ref="N680">IFERROR(_xlfn.IFS(AND(LEFT(F680,6)="Arbeid",RIGHT(F680,3)&lt;&gt;"IKS"),IFERROR(VLOOKUP($G680,Tb_KostenTypen[],2,0),"tarief"),RIGHT(F680,3)="IKS","Uurtarief",LEFT(F680,6)="Arbeid","Uurtarief",AND(LEFT(F680,8)="Bijdrage",RIGHT(F680,15)="(vrijwilligers)"),"Vast tarief"),"")</f>
        <v/>
      </c>
      <c r="O680" s="90"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0"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1"/>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59"/>
      <c r="Z680" s="49"/>
      <c r="AA680" s="37" t="str" cm="1">
        <f t="array" ref="AA680">IFERROR(IF(INDEX(SubsidieTabel!$Q$1:$T$9,MATCH($F680,SubsidieTabel!$Q$1:$Q$9,0),IFERROR(MATCH(Methode_Keuze,SubsidieTabel!$Q$1:$T$1,0),2))&lt;&gt;1=TRUE,"ja",""),"")</f>
        <v/>
      </c>
    </row>
    <row r="681" spans="1:27" ht="15" customHeight="1" x14ac:dyDescent="0.25">
      <c r="A681" s="85"/>
      <c r="B681" s="217" t="str">
        <f>IF(A681&lt;&gt;"",_xlfn.MAXIFS($B$1:B680,$A$1:A680,A681)+1,"")</f>
        <v/>
      </c>
      <c r="C681" s="50"/>
      <c r="D681" s="50"/>
      <c r="E681" s="50"/>
      <c r="F681" s="50"/>
      <c r="G681" s="280"/>
      <c r="H681" s="293"/>
      <c r="I681" s="292"/>
      <c r="J681" s="292"/>
      <c r="K681" s="200"/>
      <c r="L681" s="200"/>
      <c r="M681" s="89" t="str">
        <f>IFERROR(VLOOKUP(H681,Lijsten!$H$1:$I$100,2,0),"")</f>
        <v/>
      </c>
      <c r="N681" s="89" t="str" cm="1">
        <f t="array" ref="N681">IFERROR(_xlfn.IFS(AND(LEFT(F681,6)="Arbeid",RIGHT(F681,3)&lt;&gt;"IKS"),IFERROR(VLOOKUP($G681,Tb_KostenTypen[],2,0),"tarief"),RIGHT(F681,3)="IKS","Uurtarief",LEFT(F681,6)="Arbeid","Uurtarief",AND(LEFT(F681,8)="Bijdrage",RIGHT(F681,15)="(vrijwilligers)"),"Vast tarief"),"")</f>
        <v/>
      </c>
      <c r="O681" s="90"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0"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1"/>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59"/>
      <c r="Z681" s="49"/>
      <c r="AA681" s="37" t="str" cm="1">
        <f t="array" ref="AA681">IFERROR(IF(INDEX(SubsidieTabel!$Q$1:$T$9,MATCH($F681,SubsidieTabel!$Q$1:$Q$9,0),IFERROR(MATCH(Methode_Keuze,SubsidieTabel!$Q$1:$T$1,0),2))&lt;&gt;1=TRUE,"ja",""),"")</f>
        <v/>
      </c>
    </row>
    <row r="682" spans="1:27" ht="15" customHeight="1" x14ac:dyDescent="0.25">
      <c r="A682" s="85"/>
      <c r="B682" s="217" t="str">
        <f>IF(A682&lt;&gt;"",_xlfn.MAXIFS($B$1:B681,$A$1:A681,A682)+1,"")</f>
        <v/>
      </c>
      <c r="C682" s="50"/>
      <c r="D682" s="50"/>
      <c r="E682" s="50"/>
      <c r="F682" s="50"/>
      <c r="G682" s="280"/>
      <c r="H682" s="293"/>
      <c r="I682" s="292"/>
      <c r="J682" s="292"/>
      <c r="K682" s="200"/>
      <c r="L682" s="200"/>
      <c r="M682" s="89" t="str">
        <f>IFERROR(VLOOKUP(H682,Lijsten!$H$1:$I$100,2,0),"")</f>
        <v/>
      </c>
      <c r="N682" s="89" t="str" cm="1">
        <f t="array" ref="N682">IFERROR(_xlfn.IFS(AND(LEFT(F682,6)="Arbeid",RIGHT(F682,3)&lt;&gt;"IKS"),IFERROR(VLOOKUP($G682,Tb_KostenTypen[],2,0),"tarief"),RIGHT(F682,3)="IKS","Uurtarief",LEFT(F682,6)="Arbeid","Uurtarief",AND(LEFT(F682,8)="Bijdrage",RIGHT(F682,15)="(vrijwilligers)"),"Vast tarief"),"")</f>
        <v/>
      </c>
      <c r="O682" s="90"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0"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1"/>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59"/>
      <c r="Z682" s="49"/>
      <c r="AA682" s="37" t="str" cm="1">
        <f t="array" ref="AA682">IFERROR(IF(INDEX(SubsidieTabel!$Q$1:$T$9,MATCH($F682,SubsidieTabel!$Q$1:$Q$9,0),IFERROR(MATCH(Methode_Keuze,SubsidieTabel!$Q$1:$T$1,0),2))&lt;&gt;1=TRUE,"ja",""),"")</f>
        <v/>
      </c>
    </row>
    <row r="683" spans="1:27" ht="15" customHeight="1" x14ac:dyDescent="0.25">
      <c r="A683" s="85"/>
      <c r="B683" s="217" t="str">
        <f>IF(A683&lt;&gt;"",_xlfn.MAXIFS($B$1:B682,$A$1:A682,A683)+1,"")</f>
        <v/>
      </c>
      <c r="C683" s="50"/>
      <c r="D683" s="50"/>
      <c r="E683" s="50"/>
      <c r="F683" s="50"/>
      <c r="G683" s="280"/>
      <c r="H683" s="293"/>
      <c r="I683" s="292"/>
      <c r="J683" s="292"/>
      <c r="K683" s="200"/>
      <c r="L683" s="200"/>
      <c r="M683" s="89" t="str">
        <f>IFERROR(VLOOKUP(H683,Lijsten!$H$1:$I$100,2,0),"")</f>
        <v/>
      </c>
      <c r="N683" s="89" t="str" cm="1">
        <f t="array" ref="N683">IFERROR(_xlfn.IFS(AND(LEFT(F683,6)="Arbeid",RIGHT(F683,3)&lt;&gt;"IKS"),IFERROR(VLOOKUP($G683,Tb_KostenTypen[],2,0),"tarief"),RIGHT(F683,3)="IKS","Uurtarief",LEFT(F683,6)="Arbeid","Uurtarief",AND(LEFT(F683,8)="Bijdrage",RIGHT(F683,15)="(vrijwilligers)"),"Vast tarief"),"")</f>
        <v/>
      </c>
      <c r="O683" s="90"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0"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1"/>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59"/>
      <c r="Z683" s="49"/>
      <c r="AA683" s="37" t="str" cm="1">
        <f t="array" ref="AA683">IFERROR(IF(INDEX(SubsidieTabel!$Q$1:$T$9,MATCH($F683,SubsidieTabel!$Q$1:$Q$9,0),IFERROR(MATCH(Methode_Keuze,SubsidieTabel!$Q$1:$T$1,0),2))&lt;&gt;1=TRUE,"ja",""),"")</f>
        <v/>
      </c>
    </row>
    <row r="684" spans="1:27" ht="15" customHeight="1" x14ac:dyDescent="0.25">
      <c r="A684" s="85"/>
      <c r="B684" s="217" t="str">
        <f>IF(A684&lt;&gt;"",_xlfn.MAXIFS($B$1:B683,$A$1:A683,A684)+1,"")</f>
        <v/>
      </c>
      <c r="C684" s="50"/>
      <c r="D684" s="50"/>
      <c r="E684" s="50"/>
      <c r="F684" s="50"/>
      <c r="G684" s="280"/>
      <c r="H684" s="293"/>
      <c r="I684" s="292"/>
      <c r="J684" s="292"/>
      <c r="K684" s="200"/>
      <c r="L684" s="200"/>
      <c r="M684" s="89" t="str">
        <f>IFERROR(VLOOKUP(H684,Lijsten!$H$1:$I$100,2,0),"")</f>
        <v/>
      </c>
      <c r="N684" s="89" t="str" cm="1">
        <f t="array" ref="N684">IFERROR(_xlfn.IFS(AND(LEFT(F684,6)="Arbeid",RIGHT(F684,3)&lt;&gt;"IKS"),IFERROR(VLOOKUP($G684,Tb_KostenTypen[],2,0),"tarief"),RIGHT(F684,3)="IKS","Uurtarief",LEFT(F684,6)="Arbeid","Uurtarief",AND(LEFT(F684,8)="Bijdrage",RIGHT(F684,15)="(vrijwilligers)"),"Vast tarief"),"")</f>
        <v/>
      </c>
      <c r="O684" s="90"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0"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1"/>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59"/>
      <c r="Z684" s="49"/>
      <c r="AA684" s="37" t="str" cm="1">
        <f t="array" ref="AA684">IFERROR(IF(INDEX(SubsidieTabel!$Q$1:$T$9,MATCH($F684,SubsidieTabel!$Q$1:$Q$9,0),IFERROR(MATCH(Methode_Keuze,SubsidieTabel!$Q$1:$T$1,0),2))&lt;&gt;1=TRUE,"ja",""),"")</f>
        <v/>
      </c>
    </row>
    <row r="685" spans="1:27" ht="15" customHeight="1" x14ac:dyDescent="0.25">
      <c r="A685" s="85"/>
      <c r="B685" s="217" t="str">
        <f>IF(A685&lt;&gt;"",_xlfn.MAXIFS($B$1:B684,$A$1:A684,A685)+1,"")</f>
        <v/>
      </c>
      <c r="C685" s="50"/>
      <c r="D685" s="50"/>
      <c r="E685" s="50"/>
      <c r="F685" s="50"/>
      <c r="G685" s="280"/>
      <c r="H685" s="293"/>
      <c r="I685" s="292"/>
      <c r="J685" s="292"/>
      <c r="K685" s="200"/>
      <c r="L685" s="200"/>
      <c r="M685" s="89" t="str">
        <f>IFERROR(VLOOKUP(H685,Lijsten!$H$1:$I$100,2,0),"")</f>
        <v/>
      </c>
      <c r="N685" s="89" t="str" cm="1">
        <f t="array" ref="N685">IFERROR(_xlfn.IFS(AND(LEFT(F685,6)="Arbeid",RIGHT(F685,3)&lt;&gt;"IKS"),IFERROR(VLOOKUP($G685,Tb_KostenTypen[],2,0),"tarief"),RIGHT(F685,3)="IKS","Uurtarief",LEFT(F685,6)="Arbeid","Uurtarief",AND(LEFT(F685,8)="Bijdrage",RIGHT(F685,15)="(vrijwilligers)"),"Vast tarief"),"")</f>
        <v/>
      </c>
      <c r="O685" s="90"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0"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1"/>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59"/>
      <c r="Z685" s="49"/>
      <c r="AA685" s="37" t="str" cm="1">
        <f t="array" ref="AA685">IFERROR(IF(INDEX(SubsidieTabel!$Q$1:$T$9,MATCH($F685,SubsidieTabel!$Q$1:$Q$9,0),IFERROR(MATCH(Methode_Keuze,SubsidieTabel!$Q$1:$T$1,0),2))&lt;&gt;1=TRUE,"ja",""),"")</f>
        <v/>
      </c>
    </row>
    <row r="686" spans="1:27" ht="15" customHeight="1" x14ac:dyDescent="0.25">
      <c r="A686" s="85"/>
      <c r="B686" s="217" t="str">
        <f>IF(A686&lt;&gt;"",_xlfn.MAXIFS($B$1:B685,$A$1:A685,A686)+1,"")</f>
        <v/>
      </c>
      <c r="C686" s="50"/>
      <c r="D686" s="50"/>
      <c r="E686" s="50"/>
      <c r="F686" s="50"/>
      <c r="G686" s="280"/>
      <c r="H686" s="293"/>
      <c r="I686" s="292"/>
      <c r="J686" s="292"/>
      <c r="K686" s="200"/>
      <c r="L686" s="200"/>
      <c r="M686" s="89" t="str">
        <f>IFERROR(VLOOKUP(H686,Lijsten!$H$1:$I$100,2,0),"")</f>
        <v/>
      </c>
      <c r="N686" s="89" t="str" cm="1">
        <f t="array" ref="N686">IFERROR(_xlfn.IFS(AND(LEFT(F686,6)="Arbeid",RIGHT(F686,3)&lt;&gt;"IKS"),IFERROR(VLOOKUP($G686,Tb_KostenTypen[],2,0),"tarief"),RIGHT(F686,3)="IKS","Uurtarief",LEFT(F686,6)="Arbeid","Uurtarief",AND(LEFT(F686,8)="Bijdrage",RIGHT(F686,15)="(vrijwilligers)"),"Vast tarief"),"")</f>
        <v/>
      </c>
      <c r="O686" s="90"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0"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1"/>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59"/>
      <c r="Z686" s="49"/>
      <c r="AA686" s="37" t="str" cm="1">
        <f t="array" ref="AA686">IFERROR(IF(INDEX(SubsidieTabel!$Q$1:$T$9,MATCH($F686,SubsidieTabel!$Q$1:$Q$9,0),IFERROR(MATCH(Methode_Keuze,SubsidieTabel!$Q$1:$T$1,0),2))&lt;&gt;1=TRUE,"ja",""),"")</f>
        <v/>
      </c>
    </row>
    <row r="687" spans="1:27" ht="15" customHeight="1" x14ac:dyDescent="0.25">
      <c r="A687" s="85"/>
      <c r="B687" s="217" t="str">
        <f>IF(A687&lt;&gt;"",_xlfn.MAXIFS($B$1:B686,$A$1:A686,A687)+1,"")</f>
        <v/>
      </c>
      <c r="C687" s="50"/>
      <c r="D687" s="50"/>
      <c r="E687" s="50"/>
      <c r="F687" s="50"/>
      <c r="G687" s="280"/>
      <c r="H687" s="293"/>
      <c r="I687" s="292"/>
      <c r="J687" s="292"/>
      <c r="K687" s="200"/>
      <c r="L687" s="200"/>
      <c r="M687" s="89" t="str">
        <f>IFERROR(VLOOKUP(H687,Lijsten!$H$1:$I$100,2,0),"")</f>
        <v/>
      </c>
      <c r="N687" s="89" t="str" cm="1">
        <f t="array" ref="N687">IFERROR(_xlfn.IFS(AND(LEFT(F687,6)="Arbeid",RIGHT(F687,3)&lt;&gt;"IKS"),IFERROR(VLOOKUP($G687,Tb_KostenTypen[],2,0),"tarief"),RIGHT(F687,3)="IKS","Uurtarief",LEFT(F687,6)="Arbeid","Uurtarief",AND(LEFT(F687,8)="Bijdrage",RIGHT(F687,15)="(vrijwilligers)"),"Vast tarief"),"")</f>
        <v/>
      </c>
      <c r="O687" s="90"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0"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1"/>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59"/>
      <c r="Z687" s="49"/>
      <c r="AA687" s="37" t="str" cm="1">
        <f t="array" ref="AA687">IFERROR(IF(INDEX(SubsidieTabel!$Q$1:$T$9,MATCH($F687,SubsidieTabel!$Q$1:$Q$9,0),IFERROR(MATCH(Methode_Keuze,SubsidieTabel!$Q$1:$T$1,0),2))&lt;&gt;1=TRUE,"ja",""),"")</f>
        <v/>
      </c>
    </row>
    <row r="688" spans="1:27" ht="15" customHeight="1" x14ac:dyDescent="0.25">
      <c r="A688" s="85"/>
      <c r="B688" s="217" t="str">
        <f>IF(A688&lt;&gt;"",_xlfn.MAXIFS($B$1:B687,$A$1:A687,A688)+1,"")</f>
        <v/>
      </c>
      <c r="C688" s="50"/>
      <c r="D688" s="50"/>
      <c r="E688" s="50"/>
      <c r="F688" s="50"/>
      <c r="G688" s="280"/>
      <c r="H688" s="293"/>
      <c r="I688" s="292"/>
      <c r="J688" s="292"/>
      <c r="K688" s="200"/>
      <c r="L688" s="200"/>
      <c r="M688" s="89" t="str">
        <f>IFERROR(VLOOKUP(H688,Lijsten!$H$1:$I$100,2,0),"")</f>
        <v/>
      </c>
      <c r="N688" s="89" t="str" cm="1">
        <f t="array" ref="N688">IFERROR(_xlfn.IFS(AND(LEFT(F688,6)="Arbeid",RIGHT(F688,3)&lt;&gt;"IKS"),IFERROR(VLOOKUP($G688,Tb_KostenTypen[],2,0),"tarief"),RIGHT(F688,3)="IKS","Uurtarief",LEFT(F688,6)="Arbeid","Uurtarief",AND(LEFT(F688,8)="Bijdrage",RIGHT(F688,15)="(vrijwilligers)"),"Vast tarief"),"")</f>
        <v/>
      </c>
      <c r="O688" s="90"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0"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1"/>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59"/>
      <c r="Z688" s="49"/>
      <c r="AA688" s="37" t="str" cm="1">
        <f t="array" ref="AA688">IFERROR(IF(INDEX(SubsidieTabel!$Q$1:$T$9,MATCH($F688,SubsidieTabel!$Q$1:$Q$9,0),IFERROR(MATCH(Methode_Keuze,SubsidieTabel!$Q$1:$T$1,0),2))&lt;&gt;1=TRUE,"ja",""),"")</f>
        <v/>
      </c>
    </row>
    <row r="689" spans="1:27" ht="15" customHeight="1" x14ac:dyDescent="0.25">
      <c r="A689" s="85"/>
      <c r="B689" s="217" t="str">
        <f>IF(A689&lt;&gt;"",_xlfn.MAXIFS($B$1:B688,$A$1:A688,A689)+1,"")</f>
        <v/>
      </c>
      <c r="C689" s="50"/>
      <c r="D689" s="50"/>
      <c r="E689" s="50"/>
      <c r="F689" s="50"/>
      <c r="G689" s="280"/>
      <c r="H689" s="293"/>
      <c r="I689" s="292"/>
      <c r="J689" s="292"/>
      <c r="K689" s="200"/>
      <c r="L689" s="200"/>
      <c r="M689" s="89" t="str">
        <f>IFERROR(VLOOKUP(H689,Lijsten!$H$1:$I$100,2,0),"")</f>
        <v/>
      </c>
      <c r="N689" s="89" t="str" cm="1">
        <f t="array" ref="N689">IFERROR(_xlfn.IFS(AND(LEFT(F689,6)="Arbeid",RIGHT(F689,3)&lt;&gt;"IKS"),IFERROR(VLOOKUP($G689,Tb_KostenTypen[],2,0),"tarief"),RIGHT(F689,3)="IKS","Uurtarief",LEFT(F689,6)="Arbeid","Uurtarief",AND(LEFT(F689,8)="Bijdrage",RIGHT(F689,15)="(vrijwilligers)"),"Vast tarief"),"")</f>
        <v/>
      </c>
      <c r="O689" s="90"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0"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1"/>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59"/>
      <c r="Z689" s="49"/>
      <c r="AA689" s="37" t="str" cm="1">
        <f t="array" ref="AA689">IFERROR(IF(INDEX(SubsidieTabel!$Q$1:$T$9,MATCH($F689,SubsidieTabel!$Q$1:$Q$9,0),IFERROR(MATCH(Methode_Keuze,SubsidieTabel!$Q$1:$T$1,0),2))&lt;&gt;1=TRUE,"ja",""),"")</f>
        <v/>
      </c>
    </row>
    <row r="690" spans="1:27" ht="15" customHeight="1" x14ac:dyDescent="0.25">
      <c r="A690" s="85"/>
      <c r="B690" s="217" t="str">
        <f>IF(A690&lt;&gt;"",_xlfn.MAXIFS($B$1:B689,$A$1:A689,A690)+1,"")</f>
        <v/>
      </c>
      <c r="C690" s="50"/>
      <c r="D690" s="50"/>
      <c r="E690" s="50"/>
      <c r="F690" s="50"/>
      <c r="G690" s="280"/>
      <c r="H690" s="293"/>
      <c r="I690" s="292"/>
      <c r="J690" s="292"/>
      <c r="K690" s="200"/>
      <c r="L690" s="200"/>
      <c r="M690" s="89" t="str">
        <f>IFERROR(VLOOKUP(H690,Lijsten!$H$1:$I$100,2,0),"")</f>
        <v/>
      </c>
      <c r="N690" s="89" t="str" cm="1">
        <f t="array" ref="N690">IFERROR(_xlfn.IFS(AND(LEFT(F690,6)="Arbeid",RIGHT(F690,3)&lt;&gt;"IKS"),IFERROR(VLOOKUP($G690,Tb_KostenTypen[],2,0),"tarief"),RIGHT(F690,3)="IKS","Uurtarief",LEFT(F690,6)="Arbeid","Uurtarief",AND(LEFT(F690,8)="Bijdrage",RIGHT(F690,15)="(vrijwilligers)"),"Vast tarief"),"")</f>
        <v/>
      </c>
      <c r="O690" s="90"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0"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1"/>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59"/>
      <c r="Z690" s="49"/>
      <c r="AA690" s="37" t="str" cm="1">
        <f t="array" ref="AA690">IFERROR(IF(INDEX(SubsidieTabel!$Q$1:$T$9,MATCH($F690,SubsidieTabel!$Q$1:$Q$9,0),IFERROR(MATCH(Methode_Keuze,SubsidieTabel!$Q$1:$T$1,0),2))&lt;&gt;1=TRUE,"ja",""),"")</f>
        <v/>
      </c>
    </row>
    <row r="691" spans="1:27" ht="15" customHeight="1" x14ac:dyDescent="0.25">
      <c r="A691" s="85"/>
      <c r="B691" s="217" t="str">
        <f>IF(A691&lt;&gt;"",_xlfn.MAXIFS($B$1:B690,$A$1:A690,A691)+1,"")</f>
        <v/>
      </c>
      <c r="C691" s="50"/>
      <c r="D691" s="50"/>
      <c r="E691" s="50"/>
      <c r="F691" s="50"/>
      <c r="G691" s="280"/>
      <c r="H691" s="293"/>
      <c r="I691" s="292"/>
      <c r="J691" s="292"/>
      <c r="K691" s="200"/>
      <c r="L691" s="200"/>
      <c r="M691" s="89" t="str">
        <f>IFERROR(VLOOKUP(H691,Lijsten!$H$1:$I$100,2,0),"")</f>
        <v/>
      </c>
      <c r="N691" s="89" t="str" cm="1">
        <f t="array" ref="N691">IFERROR(_xlfn.IFS(AND(LEFT(F691,6)="Arbeid",RIGHT(F691,3)&lt;&gt;"IKS"),IFERROR(VLOOKUP($G691,Tb_KostenTypen[],2,0),"tarief"),RIGHT(F691,3)="IKS","Uurtarief",LEFT(F691,6)="Arbeid","Uurtarief",AND(LEFT(F691,8)="Bijdrage",RIGHT(F691,15)="(vrijwilligers)"),"Vast tarief"),"")</f>
        <v/>
      </c>
      <c r="O691" s="90"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0"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1"/>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59"/>
      <c r="Z691" s="49"/>
      <c r="AA691" s="37" t="str" cm="1">
        <f t="array" ref="AA691">IFERROR(IF(INDEX(SubsidieTabel!$Q$1:$T$9,MATCH($F691,SubsidieTabel!$Q$1:$Q$9,0),IFERROR(MATCH(Methode_Keuze,SubsidieTabel!$Q$1:$T$1,0),2))&lt;&gt;1=TRUE,"ja",""),"")</f>
        <v/>
      </c>
    </row>
    <row r="692" spans="1:27" ht="15" customHeight="1" x14ac:dyDescent="0.25">
      <c r="A692" s="85"/>
      <c r="B692" s="217" t="str">
        <f>IF(A692&lt;&gt;"",_xlfn.MAXIFS($B$1:B691,$A$1:A691,A692)+1,"")</f>
        <v/>
      </c>
      <c r="C692" s="50"/>
      <c r="D692" s="50"/>
      <c r="E692" s="50"/>
      <c r="F692" s="50"/>
      <c r="G692" s="280"/>
      <c r="H692" s="293"/>
      <c r="I692" s="292"/>
      <c r="J692" s="292"/>
      <c r="K692" s="200"/>
      <c r="L692" s="200"/>
      <c r="M692" s="89" t="str">
        <f>IFERROR(VLOOKUP(H692,Lijsten!$H$1:$I$100,2,0),"")</f>
        <v/>
      </c>
      <c r="N692" s="89" t="str" cm="1">
        <f t="array" ref="N692">IFERROR(_xlfn.IFS(AND(LEFT(F692,6)="Arbeid",RIGHT(F692,3)&lt;&gt;"IKS"),IFERROR(VLOOKUP($G692,Tb_KostenTypen[],2,0),"tarief"),RIGHT(F692,3)="IKS","Uurtarief",LEFT(F692,6)="Arbeid","Uurtarief",AND(LEFT(F692,8)="Bijdrage",RIGHT(F692,15)="(vrijwilligers)"),"Vast tarief"),"")</f>
        <v/>
      </c>
      <c r="O692" s="90"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0"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1"/>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59"/>
      <c r="Z692" s="49"/>
      <c r="AA692" s="37" t="str" cm="1">
        <f t="array" ref="AA692">IFERROR(IF(INDEX(SubsidieTabel!$Q$1:$T$9,MATCH($F692,SubsidieTabel!$Q$1:$Q$9,0),IFERROR(MATCH(Methode_Keuze,SubsidieTabel!$Q$1:$T$1,0),2))&lt;&gt;1=TRUE,"ja",""),"")</f>
        <v/>
      </c>
    </row>
    <row r="693" spans="1:27" ht="15" customHeight="1" x14ac:dyDescent="0.25">
      <c r="A693" s="85"/>
      <c r="B693" s="217" t="str">
        <f>IF(A693&lt;&gt;"",_xlfn.MAXIFS($B$1:B692,$A$1:A692,A693)+1,"")</f>
        <v/>
      </c>
      <c r="C693" s="50"/>
      <c r="D693" s="50"/>
      <c r="E693" s="50"/>
      <c r="F693" s="50"/>
      <c r="G693" s="280"/>
      <c r="H693" s="293"/>
      <c r="I693" s="292"/>
      <c r="J693" s="292"/>
      <c r="K693" s="200"/>
      <c r="L693" s="200"/>
      <c r="M693" s="89" t="str">
        <f>IFERROR(VLOOKUP(H693,Lijsten!$H$1:$I$100,2,0),"")</f>
        <v/>
      </c>
      <c r="N693" s="89" t="str" cm="1">
        <f t="array" ref="N693">IFERROR(_xlfn.IFS(AND(LEFT(F693,6)="Arbeid",RIGHT(F693,3)&lt;&gt;"IKS"),IFERROR(VLOOKUP($G693,Tb_KostenTypen[],2,0),"tarief"),RIGHT(F693,3)="IKS","Uurtarief",LEFT(F693,6)="Arbeid","Uurtarief",AND(LEFT(F693,8)="Bijdrage",RIGHT(F693,15)="(vrijwilligers)"),"Vast tarief"),"")</f>
        <v/>
      </c>
      <c r="O693" s="90"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0"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1"/>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59"/>
      <c r="Z693" s="49"/>
      <c r="AA693" s="37" t="str" cm="1">
        <f t="array" ref="AA693">IFERROR(IF(INDEX(SubsidieTabel!$Q$1:$T$9,MATCH($F693,SubsidieTabel!$Q$1:$Q$9,0),IFERROR(MATCH(Methode_Keuze,SubsidieTabel!$Q$1:$T$1,0),2))&lt;&gt;1=TRUE,"ja",""),"")</f>
        <v/>
      </c>
    </row>
    <row r="694" spans="1:27" ht="15" customHeight="1" x14ac:dyDescent="0.25">
      <c r="A694" s="85"/>
      <c r="B694" s="217" t="str">
        <f>IF(A694&lt;&gt;"",_xlfn.MAXIFS($B$1:B693,$A$1:A693,A694)+1,"")</f>
        <v/>
      </c>
      <c r="C694" s="50"/>
      <c r="D694" s="50"/>
      <c r="E694" s="50"/>
      <c r="F694" s="50"/>
      <c r="G694" s="280"/>
      <c r="H694" s="293"/>
      <c r="I694" s="292"/>
      <c r="J694" s="292"/>
      <c r="K694" s="200"/>
      <c r="L694" s="200"/>
      <c r="M694" s="89" t="str">
        <f>IFERROR(VLOOKUP(H694,Lijsten!$H$1:$I$100,2,0),"")</f>
        <v/>
      </c>
      <c r="N694" s="89" t="str" cm="1">
        <f t="array" ref="N694">IFERROR(_xlfn.IFS(AND(LEFT(F694,6)="Arbeid",RIGHT(F694,3)&lt;&gt;"IKS"),IFERROR(VLOOKUP($G694,Tb_KostenTypen[],2,0),"tarief"),RIGHT(F694,3)="IKS","Uurtarief",LEFT(F694,6)="Arbeid","Uurtarief",AND(LEFT(F694,8)="Bijdrage",RIGHT(F694,15)="(vrijwilligers)"),"Vast tarief"),"")</f>
        <v/>
      </c>
      <c r="O694" s="90"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0"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1"/>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59"/>
      <c r="Z694" s="49"/>
      <c r="AA694" s="37" t="str" cm="1">
        <f t="array" ref="AA694">IFERROR(IF(INDEX(SubsidieTabel!$Q$1:$T$9,MATCH($F694,SubsidieTabel!$Q$1:$Q$9,0),IFERROR(MATCH(Methode_Keuze,SubsidieTabel!$Q$1:$T$1,0),2))&lt;&gt;1=TRUE,"ja",""),"")</f>
        <v/>
      </c>
    </row>
    <row r="695" spans="1:27" ht="15" customHeight="1" x14ac:dyDescent="0.25">
      <c r="A695" s="85"/>
      <c r="B695" s="217" t="str">
        <f>IF(A695&lt;&gt;"",_xlfn.MAXIFS($B$1:B694,$A$1:A694,A695)+1,"")</f>
        <v/>
      </c>
      <c r="C695" s="50"/>
      <c r="D695" s="50"/>
      <c r="E695" s="50"/>
      <c r="F695" s="50"/>
      <c r="G695" s="280"/>
      <c r="H695" s="293"/>
      <c r="I695" s="292"/>
      <c r="J695" s="292"/>
      <c r="K695" s="200"/>
      <c r="L695" s="200"/>
      <c r="M695" s="89" t="str">
        <f>IFERROR(VLOOKUP(H695,Lijsten!$H$1:$I$100,2,0),"")</f>
        <v/>
      </c>
      <c r="N695" s="89" t="str" cm="1">
        <f t="array" ref="N695">IFERROR(_xlfn.IFS(AND(LEFT(F695,6)="Arbeid",RIGHT(F695,3)&lt;&gt;"IKS"),IFERROR(VLOOKUP($G695,Tb_KostenTypen[],2,0),"tarief"),RIGHT(F695,3)="IKS","Uurtarief",LEFT(F695,6)="Arbeid","Uurtarief",AND(LEFT(F695,8)="Bijdrage",RIGHT(F695,15)="(vrijwilligers)"),"Vast tarief"),"")</f>
        <v/>
      </c>
      <c r="O695" s="90"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0"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1"/>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59"/>
      <c r="Z695" s="49"/>
      <c r="AA695" s="37" t="str" cm="1">
        <f t="array" ref="AA695">IFERROR(IF(INDEX(SubsidieTabel!$Q$1:$T$9,MATCH($F695,SubsidieTabel!$Q$1:$Q$9,0),IFERROR(MATCH(Methode_Keuze,SubsidieTabel!$Q$1:$T$1,0),2))&lt;&gt;1=TRUE,"ja",""),"")</f>
        <v/>
      </c>
    </row>
    <row r="696" spans="1:27" ht="15" customHeight="1" x14ac:dyDescent="0.25">
      <c r="A696" s="85"/>
      <c r="B696" s="217" t="str">
        <f>IF(A696&lt;&gt;"",_xlfn.MAXIFS($B$1:B695,$A$1:A695,A696)+1,"")</f>
        <v/>
      </c>
      <c r="C696" s="50"/>
      <c r="D696" s="50"/>
      <c r="E696" s="50"/>
      <c r="F696" s="50"/>
      <c r="G696" s="280"/>
      <c r="H696" s="293"/>
      <c r="I696" s="292"/>
      <c r="J696" s="292"/>
      <c r="K696" s="200"/>
      <c r="L696" s="200"/>
      <c r="M696" s="89" t="str">
        <f>IFERROR(VLOOKUP(H696,Lijsten!$H$1:$I$100,2,0),"")</f>
        <v/>
      </c>
      <c r="N696" s="89" t="str" cm="1">
        <f t="array" ref="N696">IFERROR(_xlfn.IFS(AND(LEFT(F696,6)="Arbeid",RIGHT(F696,3)&lt;&gt;"IKS"),IFERROR(VLOOKUP($G696,Tb_KostenTypen[],2,0),"tarief"),RIGHT(F696,3)="IKS","Uurtarief",LEFT(F696,6)="Arbeid","Uurtarief",AND(LEFT(F696,8)="Bijdrage",RIGHT(F696,15)="(vrijwilligers)"),"Vast tarief"),"")</f>
        <v/>
      </c>
      <c r="O696" s="90"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0"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1"/>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59"/>
      <c r="Z696" s="49"/>
      <c r="AA696" s="37" t="str" cm="1">
        <f t="array" ref="AA696">IFERROR(IF(INDEX(SubsidieTabel!$Q$1:$T$9,MATCH($F696,SubsidieTabel!$Q$1:$Q$9,0),IFERROR(MATCH(Methode_Keuze,SubsidieTabel!$Q$1:$T$1,0),2))&lt;&gt;1=TRUE,"ja",""),"")</f>
        <v/>
      </c>
    </row>
    <row r="697" spans="1:27" ht="15" customHeight="1" x14ac:dyDescent="0.25">
      <c r="A697" s="85"/>
      <c r="B697" s="217" t="str">
        <f>IF(A697&lt;&gt;"",_xlfn.MAXIFS($B$1:B696,$A$1:A696,A697)+1,"")</f>
        <v/>
      </c>
      <c r="C697" s="50"/>
      <c r="D697" s="50"/>
      <c r="E697" s="50"/>
      <c r="F697" s="50"/>
      <c r="G697" s="280"/>
      <c r="H697" s="293"/>
      <c r="I697" s="292"/>
      <c r="J697" s="292"/>
      <c r="K697" s="200"/>
      <c r="L697" s="200"/>
      <c r="M697" s="89" t="str">
        <f>IFERROR(VLOOKUP(H697,Lijsten!$H$1:$I$100,2,0),"")</f>
        <v/>
      </c>
      <c r="N697" s="89" t="str" cm="1">
        <f t="array" ref="N697">IFERROR(_xlfn.IFS(AND(LEFT(F697,6)="Arbeid",RIGHT(F697,3)&lt;&gt;"IKS"),IFERROR(VLOOKUP($G697,Tb_KostenTypen[],2,0),"tarief"),RIGHT(F697,3)="IKS","Uurtarief",LEFT(F697,6)="Arbeid","Uurtarief",AND(LEFT(F697,8)="Bijdrage",RIGHT(F697,15)="(vrijwilligers)"),"Vast tarief"),"")</f>
        <v/>
      </c>
      <c r="O697" s="90"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0"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1"/>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59"/>
      <c r="Z697" s="49"/>
      <c r="AA697" s="37" t="str" cm="1">
        <f t="array" ref="AA697">IFERROR(IF(INDEX(SubsidieTabel!$Q$1:$T$9,MATCH($F697,SubsidieTabel!$Q$1:$Q$9,0),IFERROR(MATCH(Methode_Keuze,SubsidieTabel!$Q$1:$T$1,0),2))&lt;&gt;1=TRUE,"ja",""),"")</f>
        <v/>
      </c>
    </row>
    <row r="698" spans="1:27" ht="15" customHeight="1" x14ac:dyDescent="0.25">
      <c r="A698" s="85"/>
      <c r="B698" s="217" t="str">
        <f>IF(A698&lt;&gt;"",_xlfn.MAXIFS($B$1:B697,$A$1:A697,A698)+1,"")</f>
        <v/>
      </c>
      <c r="C698" s="50"/>
      <c r="D698" s="50"/>
      <c r="E698" s="50"/>
      <c r="F698" s="50"/>
      <c r="G698" s="280"/>
      <c r="H698" s="293"/>
      <c r="I698" s="292"/>
      <c r="J698" s="292"/>
      <c r="K698" s="200"/>
      <c r="L698" s="200"/>
      <c r="M698" s="89" t="str">
        <f>IFERROR(VLOOKUP(H698,Lijsten!$H$1:$I$100,2,0),"")</f>
        <v/>
      </c>
      <c r="N698" s="89" t="str" cm="1">
        <f t="array" ref="N698">IFERROR(_xlfn.IFS(AND(LEFT(F698,6)="Arbeid",RIGHT(F698,3)&lt;&gt;"IKS"),IFERROR(VLOOKUP($G698,Tb_KostenTypen[],2,0),"tarief"),RIGHT(F698,3)="IKS","Uurtarief",LEFT(F698,6)="Arbeid","Uurtarief",AND(LEFT(F698,8)="Bijdrage",RIGHT(F698,15)="(vrijwilligers)"),"Vast tarief"),"")</f>
        <v/>
      </c>
      <c r="O698" s="90"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0"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1"/>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59"/>
      <c r="Z698" s="49"/>
      <c r="AA698" s="37" t="str" cm="1">
        <f t="array" ref="AA698">IFERROR(IF(INDEX(SubsidieTabel!$Q$1:$T$9,MATCH($F698,SubsidieTabel!$Q$1:$Q$9,0),IFERROR(MATCH(Methode_Keuze,SubsidieTabel!$Q$1:$T$1,0),2))&lt;&gt;1=TRUE,"ja",""),"")</f>
        <v/>
      </c>
    </row>
    <row r="699" spans="1:27" ht="15" customHeight="1" x14ac:dyDescent="0.25">
      <c r="A699" s="85"/>
      <c r="B699" s="217" t="str">
        <f>IF(A699&lt;&gt;"",_xlfn.MAXIFS($B$1:B698,$A$1:A698,A699)+1,"")</f>
        <v/>
      </c>
      <c r="C699" s="50"/>
      <c r="D699" s="50"/>
      <c r="E699" s="50"/>
      <c r="F699" s="50"/>
      <c r="G699" s="280"/>
      <c r="H699" s="293"/>
      <c r="I699" s="292"/>
      <c r="J699" s="292"/>
      <c r="K699" s="200"/>
      <c r="L699" s="200"/>
      <c r="M699" s="89" t="str">
        <f>IFERROR(VLOOKUP(H699,Lijsten!$H$1:$I$100,2,0),"")</f>
        <v/>
      </c>
      <c r="N699" s="89" t="str" cm="1">
        <f t="array" ref="N699">IFERROR(_xlfn.IFS(AND(LEFT(F699,6)="Arbeid",RIGHT(F699,3)&lt;&gt;"IKS"),IFERROR(VLOOKUP($G699,Tb_KostenTypen[],2,0),"tarief"),RIGHT(F699,3)="IKS","Uurtarief",LEFT(F699,6)="Arbeid","Uurtarief",AND(LEFT(F699,8)="Bijdrage",RIGHT(F699,15)="(vrijwilligers)"),"Vast tarief"),"")</f>
        <v/>
      </c>
      <c r="O699" s="90"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0"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1"/>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59"/>
      <c r="Z699" s="49"/>
      <c r="AA699" s="37" t="str" cm="1">
        <f t="array" ref="AA699">IFERROR(IF(INDEX(SubsidieTabel!$Q$1:$T$9,MATCH($F699,SubsidieTabel!$Q$1:$Q$9,0),IFERROR(MATCH(Methode_Keuze,SubsidieTabel!$Q$1:$T$1,0),2))&lt;&gt;1=TRUE,"ja",""),"")</f>
        <v/>
      </c>
    </row>
    <row r="700" spans="1:27" ht="15" customHeight="1" x14ac:dyDescent="0.25">
      <c r="A700" s="85"/>
      <c r="B700" s="217" t="str">
        <f>IF(A700&lt;&gt;"",_xlfn.MAXIFS($B$1:B699,$A$1:A699,A700)+1,"")</f>
        <v/>
      </c>
      <c r="C700" s="50"/>
      <c r="D700" s="50"/>
      <c r="E700" s="50"/>
      <c r="F700" s="50"/>
      <c r="G700" s="280"/>
      <c r="H700" s="293"/>
      <c r="I700" s="292"/>
      <c r="J700" s="292"/>
      <c r="K700" s="200"/>
      <c r="L700" s="200"/>
      <c r="M700" s="89" t="str">
        <f>IFERROR(VLOOKUP(H700,Lijsten!$H$1:$I$100,2,0),"")</f>
        <v/>
      </c>
      <c r="N700" s="89" t="str" cm="1">
        <f t="array" ref="N700">IFERROR(_xlfn.IFS(AND(LEFT(F700,6)="Arbeid",RIGHT(F700,3)&lt;&gt;"IKS"),IFERROR(VLOOKUP($G700,Tb_KostenTypen[],2,0),"tarief"),RIGHT(F700,3)="IKS","Uurtarief",LEFT(F700,6)="Arbeid","Uurtarief",AND(LEFT(F700,8)="Bijdrage",RIGHT(F700,15)="(vrijwilligers)"),"Vast tarief"),"")</f>
        <v/>
      </c>
      <c r="O700" s="90"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0"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1"/>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59"/>
      <c r="Z700" s="49"/>
      <c r="AA700" s="37" t="str" cm="1">
        <f t="array" ref="AA700">IFERROR(IF(INDEX(SubsidieTabel!$Q$1:$T$9,MATCH($F700,SubsidieTabel!$Q$1:$Q$9,0),IFERROR(MATCH(Methode_Keuze,SubsidieTabel!$Q$1:$T$1,0),2))&lt;&gt;1=TRUE,"ja",""),"")</f>
        <v/>
      </c>
    </row>
    <row r="701" spans="1:27" ht="15" customHeight="1" x14ac:dyDescent="0.25">
      <c r="A701" s="85"/>
      <c r="B701" s="217" t="str">
        <f>IF(A701&lt;&gt;"",_xlfn.MAXIFS($B$1:B700,$A$1:A700,A701)+1,"")</f>
        <v/>
      </c>
      <c r="C701" s="50"/>
      <c r="D701" s="50"/>
      <c r="E701" s="50"/>
      <c r="F701" s="50"/>
      <c r="G701" s="280"/>
      <c r="H701" s="293"/>
      <c r="I701" s="292"/>
      <c r="J701" s="292"/>
      <c r="K701" s="200"/>
      <c r="L701" s="200"/>
      <c r="M701" s="89" t="str">
        <f>IFERROR(VLOOKUP(H701,Lijsten!$H$1:$I$100,2,0),"")</f>
        <v/>
      </c>
      <c r="N701" s="89" t="str" cm="1">
        <f t="array" ref="N701">IFERROR(_xlfn.IFS(AND(LEFT(F701,6)="Arbeid",RIGHT(F701,3)&lt;&gt;"IKS"),IFERROR(VLOOKUP($G701,Tb_KostenTypen[],2,0),"tarief"),RIGHT(F701,3)="IKS","Uurtarief",LEFT(F701,6)="Arbeid","Uurtarief",AND(LEFT(F701,8)="Bijdrage",RIGHT(F701,15)="(vrijwilligers)"),"Vast tarief"),"")</f>
        <v/>
      </c>
      <c r="O701" s="90"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0"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1"/>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59"/>
      <c r="Z701" s="49"/>
      <c r="AA701" s="37" t="str" cm="1">
        <f t="array" ref="AA701">IFERROR(IF(INDEX(SubsidieTabel!$Q$1:$T$9,MATCH($F701,SubsidieTabel!$Q$1:$Q$9,0),IFERROR(MATCH(Methode_Keuze,SubsidieTabel!$Q$1:$T$1,0),2))&lt;&gt;1=TRUE,"ja",""),"")</f>
        <v/>
      </c>
    </row>
    <row r="702" spans="1:27" ht="15" customHeight="1" x14ac:dyDescent="0.25">
      <c r="A702" s="85"/>
      <c r="B702" s="217" t="str">
        <f>IF(A702&lt;&gt;"",_xlfn.MAXIFS($B$1:B701,$A$1:A701,A702)+1,"")</f>
        <v/>
      </c>
      <c r="C702" s="50"/>
      <c r="D702" s="50"/>
      <c r="E702" s="50"/>
      <c r="F702" s="50"/>
      <c r="G702" s="280"/>
      <c r="H702" s="293"/>
      <c r="I702" s="292"/>
      <c r="J702" s="292"/>
      <c r="K702" s="200"/>
      <c r="L702" s="200"/>
      <c r="M702" s="89" t="str">
        <f>IFERROR(VLOOKUP(H702,Lijsten!$H$1:$I$100,2,0),"")</f>
        <v/>
      </c>
      <c r="N702" s="89" t="str" cm="1">
        <f t="array" ref="N702">IFERROR(_xlfn.IFS(AND(LEFT(F702,6)="Arbeid",RIGHT(F702,3)&lt;&gt;"IKS"),IFERROR(VLOOKUP($G702,Tb_KostenTypen[],2,0),"tarief"),RIGHT(F702,3)="IKS","Uurtarief",LEFT(F702,6)="Arbeid","Uurtarief",AND(LEFT(F702,8)="Bijdrage",RIGHT(F702,15)="(vrijwilligers)"),"Vast tarief"),"")</f>
        <v/>
      </c>
      <c r="O702" s="90"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0"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1"/>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59"/>
      <c r="Z702" s="49"/>
      <c r="AA702" s="37" t="str" cm="1">
        <f t="array" ref="AA702">IFERROR(IF(INDEX(SubsidieTabel!$Q$1:$T$9,MATCH($F702,SubsidieTabel!$Q$1:$Q$9,0),IFERROR(MATCH(Methode_Keuze,SubsidieTabel!$Q$1:$T$1,0),2))&lt;&gt;1=TRUE,"ja",""),"")</f>
        <v/>
      </c>
    </row>
    <row r="703" spans="1:27" ht="15" customHeight="1" x14ac:dyDescent="0.25">
      <c r="A703" s="85"/>
      <c r="B703" s="217" t="str">
        <f>IF(A703&lt;&gt;"",_xlfn.MAXIFS($B$1:B702,$A$1:A702,A703)+1,"")</f>
        <v/>
      </c>
      <c r="C703" s="50"/>
      <c r="D703" s="50"/>
      <c r="E703" s="50"/>
      <c r="F703" s="50"/>
      <c r="G703" s="280"/>
      <c r="H703" s="293"/>
      <c r="I703" s="292"/>
      <c r="J703" s="292"/>
      <c r="K703" s="200"/>
      <c r="L703" s="200"/>
      <c r="M703" s="89" t="str">
        <f>IFERROR(VLOOKUP(H703,Lijsten!$H$1:$I$100,2,0),"")</f>
        <v/>
      </c>
      <c r="N703" s="89" t="str" cm="1">
        <f t="array" ref="N703">IFERROR(_xlfn.IFS(AND(LEFT(F703,6)="Arbeid",RIGHT(F703,3)&lt;&gt;"IKS"),IFERROR(VLOOKUP($G703,Tb_KostenTypen[],2,0),"tarief"),RIGHT(F703,3)="IKS","Uurtarief",LEFT(F703,6)="Arbeid","Uurtarief",AND(LEFT(F703,8)="Bijdrage",RIGHT(F703,15)="(vrijwilligers)"),"Vast tarief"),"")</f>
        <v/>
      </c>
      <c r="O703" s="90"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0"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1"/>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59"/>
      <c r="Z703" s="49"/>
      <c r="AA703" s="37" t="str" cm="1">
        <f t="array" ref="AA703">IFERROR(IF(INDEX(SubsidieTabel!$Q$1:$T$9,MATCH($F703,SubsidieTabel!$Q$1:$Q$9,0),IFERROR(MATCH(Methode_Keuze,SubsidieTabel!$Q$1:$T$1,0),2))&lt;&gt;1=TRUE,"ja",""),"")</f>
        <v/>
      </c>
    </row>
    <row r="704" spans="1:27" ht="15" customHeight="1" x14ac:dyDescent="0.25">
      <c r="A704" s="85"/>
      <c r="B704" s="217" t="str">
        <f>IF(A704&lt;&gt;"",_xlfn.MAXIFS($B$1:B703,$A$1:A703,A704)+1,"")</f>
        <v/>
      </c>
      <c r="C704" s="50"/>
      <c r="D704" s="50"/>
      <c r="E704" s="50"/>
      <c r="F704" s="50"/>
      <c r="G704" s="280"/>
      <c r="H704" s="293"/>
      <c r="I704" s="292"/>
      <c r="J704" s="292"/>
      <c r="K704" s="200"/>
      <c r="L704" s="200"/>
      <c r="M704" s="89" t="str">
        <f>IFERROR(VLOOKUP(H704,Lijsten!$H$1:$I$100,2,0),"")</f>
        <v/>
      </c>
      <c r="N704" s="89" t="str" cm="1">
        <f t="array" ref="N704">IFERROR(_xlfn.IFS(AND(LEFT(F704,6)="Arbeid",RIGHT(F704,3)&lt;&gt;"IKS"),IFERROR(VLOOKUP($G704,Tb_KostenTypen[],2,0),"tarief"),RIGHT(F704,3)="IKS","Uurtarief",LEFT(F704,6)="Arbeid","Uurtarief",AND(LEFT(F704,8)="Bijdrage",RIGHT(F704,15)="(vrijwilligers)"),"Vast tarief"),"")</f>
        <v/>
      </c>
      <c r="O704" s="90"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0"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1"/>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59"/>
      <c r="Z704" s="49"/>
      <c r="AA704" s="37" t="str" cm="1">
        <f t="array" ref="AA704">IFERROR(IF(INDEX(SubsidieTabel!$Q$1:$T$9,MATCH($F704,SubsidieTabel!$Q$1:$Q$9,0),IFERROR(MATCH(Methode_Keuze,SubsidieTabel!$Q$1:$T$1,0),2))&lt;&gt;1=TRUE,"ja",""),"")</f>
        <v/>
      </c>
    </row>
    <row r="705" spans="1:27" ht="15" customHeight="1" x14ac:dyDescent="0.25">
      <c r="A705" s="85"/>
      <c r="B705" s="217" t="str">
        <f>IF(A705&lt;&gt;"",_xlfn.MAXIFS($B$1:B704,$A$1:A704,A705)+1,"")</f>
        <v/>
      </c>
      <c r="C705" s="50"/>
      <c r="D705" s="50"/>
      <c r="E705" s="50"/>
      <c r="F705" s="50"/>
      <c r="G705" s="280"/>
      <c r="H705" s="293"/>
      <c r="I705" s="292"/>
      <c r="J705" s="292"/>
      <c r="K705" s="200"/>
      <c r="L705" s="200"/>
      <c r="M705" s="89" t="str">
        <f>IFERROR(VLOOKUP(H705,Lijsten!$H$1:$I$100,2,0),"")</f>
        <v/>
      </c>
      <c r="N705" s="89" t="str" cm="1">
        <f t="array" ref="N705">IFERROR(_xlfn.IFS(AND(LEFT(F705,6)="Arbeid",RIGHT(F705,3)&lt;&gt;"IKS"),IFERROR(VLOOKUP($G705,Tb_KostenTypen[],2,0),"tarief"),RIGHT(F705,3)="IKS","Uurtarief",LEFT(F705,6)="Arbeid","Uurtarief",AND(LEFT(F705,8)="Bijdrage",RIGHT(F705,15)="(vrijwilligers)"),"Vast tarief"),"")</f>
        <v/>
      </c>
      <c r="O705" s="90"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0"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1"/>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59"/>
      <c r="Z705" s="49"/>
      <c r="AA705" s="37" t="str" cm="1">
        <f t="array" ref="AA705">IFERROR(IF(INDEX(SubsidieTabel!$Q$1:$T$9,MATCH($F705,SubsidieTabel!$Q$1:$Q$9,0),IFERROR(MATCH(Methode_Keuze,SubsidieTabel!$Q$1:$T$1,0),2))&lt;&gt;1=TRUE,"ja",""),"")</f>
        <v/>
      </c>
    </row>
    <row r="706" spans="1:27" ht="15" customHeight="1" x14ac:dyDescent="0.25">
      <c r="A706" s="85"/>
      <c r="B706" s="217" t="str">
        <f>IF(A706&lt;&gt;"",_xlfn.MAXIFS($B$1:B705,$A$1:A705,A706)+1,"")</f>
        <v/>
      </c>
      <c r="C706" s="50"/>
      <c r="D706" s="50"/>
      <c r="E706" s="50"/>
      <c r="F706" s="50"/>
      <c r="G706" s="280"/>
      <c r="H706" s="293"/>
      <c r="I706" s="292"/>
      <c r="J706" s="292"/>
      <c r="K706" s="200"/>
      <c r="L706" s="200"/>
      <c r="M706" s="89" t="str">
        <f>IFERROR(VLOOKUP(H706,Lijsten!$H$1:$I$100,2,0),"")</f>
        <v/>
      </c>
      <c r="N706" s="89" t="str" cm="1">
        <f t="array" ref="N706">IFERROR(_xlfn.IFS(AND(LEFT(F706,6)="Arbeid",RIGHT(F706,3)&lt;&gt;"IKS"),IFERROR(VLOOKUP($G706,Tb_KostenTypen[],2,0),"tarief"),RIGHT(F706,3)="IKS","Uurtarief",LEFT(F706,6)="Arbeid","Uurtarief",AND(LEFT(F706,8)="Bijdrage",RIGHT(F706,15)="(vrijwilligers)"),"Vast tarief"),"")</f>
        <v/>
      </c>
      <c r="O706" s="90"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0"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1"/>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59"/>
      <c r="Z706" s="49"/>
      <c r="AA706" s="37" t="str" cm="1">
        <f t="array" ref="AA706">IFERROR(IF(INDEX(SubsidieTabel!$Q$1:$T$9,MATCH($F706,SubsidieTabel!$Q$1:$Q$9,0),IFERROR(MATCH(Methode_Keuze,SubsidieTabel!$Q$1:$T$1,0),2))&lt;&gt;1=TRUE,"ja",""),"")</f>
        <v/>
      </c>
    </row>
    <row r="707" spans="1:27" ht="15" customHeight="1" x14ac:dyDescent="0.25">
      <c r="A707" s="85"/>
      <c r="B707" s="217" t="str">
        <f>IF(A707&lt;&gt;"",_xlfn.MAXIFS($B$1:B706,$A$1:A706,A707)+1,"")</f>
        <v/>
      </c>
      <c r="C707" s="50"/>
      <c r="D707" s="50"/>
      <c r="E707" s="50"/>
      <c r="F707" s="50"/>
      <c r="G707" s="280"/>
      <c r="H707" s="293"/>
      <c r="I707" s="292"/>
      <c r="J707" s="292"/>
      <c r="K707" s="200"/>
      <c r="L707" s="200"/>
      <c r="M707" s="89" t="str">
        <f>IFERROR(VLOOKUP(H707,Lijsten!$H$1:$I$100,2,0),"")</f>
        <v/>
      </c>
      <c r="N707" s="89" t="str" cm="1">
        <f t="array" ref="N707">IFERROR(_xlfn.IFS(AND(LEFT(F707,6)="Arbeid",RIGHT(F707,3)&lt;&gt;"IKS"),IFERROR(VLOOKUP($G707,Tb_KostenTypen[],2,0),"tarief"),RIGHT(F707,3)="IKS","Uurtarief",LEFT(F707,6)="Arbeid","Uurtarief",AND(LEFT(F707,8)="Bijdrage",RIGHT(F707,15)="(vrijwilligers)"),"Vast tarief"),"")</f>
        <v/>
      </c>
      <c r="O707" s="90"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0"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1"/>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59"/>
      <c r="Z707" s="49"/>
      <c r="AA707" s="37" t="str" cm="1">
        <f t="array" ref="AA707">IFERROR(IF(INDEX(SubsidieTabel!$Q$1:$T$9,MATCH($F707,SubsidieTabel!$Q$1:$Q$9,0),IFERROR(MATCH(Methode_Keuze,SubsidieTabel!$Q$1:$T$1,0),2))&lt;&gt;1=TRUE,"ja",""),"")</f>
        <v/>
      </c>
    </row>
    <row r="708" spans="1:27" ht="15" customHeight="1" x14ac:dyDescent="0.25">
      <c r="A708" s="85"/>
      <c r="B708" s="217" t="str">
        <f>IF(A708&lt;&gt;"",_xlfn.MAXIFS($B$1:B707,$A$1:A707,A708)+1,"")</f>
        <v/>
      </c>
      <c r="C708" s="50"/>
      <c r="D708" s="50"/>
      <c r="E708" s="50"/>
      <c r="F708" s="50"/>
      <c r="G708" s="280"/>
      <c r="H708" s="293"/>
      <c r="I708" s="292"/>
      <c r="J708" s="292"/>
      <c r="K708" s="200"/>
      <c r="L708" s="200"/>
      <c r="M708" s="89" t="str">
        <f>IFERROR(VLOOKUP(H708,Lijsten!$H$1:$I$100,2,0),"")</f>
        <v/>
      </c>
      <c r="N708" s="89" t="str" cm="1">
        <f t="array" ref="N708">IFERROR(_xlfn.IFS(AND(LEFT(F708,6)="Arbeid",RIGHT(F708,3)&lt;&gt;"IKS"),IFERROR(VLOOKUP($G708,Tb_KostenTypen[],2,0),"tarief"),RIGHT(F708,3)="IKS","Uurtarief",LEFT(F708,6)="Arbeid","Uurtarief",AND(LEFT(F708,8)="Bijdrage",RIGHT(F708,15)="(vrijwilligers)"),"Vast tarief"),"")</f>
        <v/>
      </c>
      <c r="O708" s="90"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0"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1"/>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59"/>
      <c r="Z708" s="49"/>
      <c r="AA708" s="37" t="str" cm="1">
        <f t="array" ref="AA708">IFERROR(IF(INDEX(SubsidieTabel!$Q$1:$T$9,MATCH($F708,SubsidieTabel!$Q$1:$Q$9,0),IFERROR(MATCH(Methode_Keuze,SubsidieTabel!$Q$1:$T$1,0),2))&lt;&gt;1=TRUE,"ja",""),"")</f>
        <v/>
      </c>
    </row>
    <row r="709" spans="1:27" ht="15" customHeight="1" x14ac:dyDescent="0.25">
      <c r="A709" s="85"/>
      <c r="B709" s="217" t="str">
        <f>IF(A709&lt;&gt;"",_xlfn.MAXIFS($B$1:B708,$A$1:A708,A709)+1,"")</f>
        <v/>
      </c>
      <c r="C709" s="50"/>
      <c r="D709" s="50"/>
      <c r="E709" s="50"/>
      <c r="F709" s="50"/>
      <c r="G709" s="280"/>
      <c r="H709" s="293"/>
      <c r="I709" s="292"/>
      <c r="J709" s="292"/>
      <c r="K709" s="200"/>
      <c r="L709" s="200"/>
      <c r="M709" s="89" t="str">
        <f>IFERROR(VLOOKUP(H709,Lijsten!$H$1:$I$100,2,0),"")</f>
        <v/>
      </c>
      <c r="N709" s="89" t="str" cm="1">
        <f t="array" ref="N709">IFERROR(_xlfn.IFS(AND(LEFT(F709,6)="Arbeid",RIGHT(F709,3)&lt;&gt;"IKS"),IFERROR(VLOOKUP($G709,Tb_KostenTypen[],2,0),"tarief"),RIGHT(F709,3)="IKS","Uurtarief",LEFT(F709,6)="Arbeid","Uurtarief",AND(LEFT(F709,8)="Bijdrage",RIGHT(F709,15)="(vrijwilligers)"),"Vast tarief"),"")</f>
        <v/>
      </c>
      <c r="O709" s="90"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0"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1"/>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59"/>
      <c r="Z709" s="49"/>
      <c r="AA709" s="37" t="str" cm="1">
        <f t="array" ref="AA709">IFERROR(IF(INDEX(SubsidieTabel!$Q$1:$T$9,MATCH($F709,SubsidieTabel!$Q$1:$Q$9,0),IFERROR(MATCH(Methode_Keuze,SubsidieTabel!$Q$1:$T$1,0),2))&lt;&gt;1=TRUE,"ja",""),"")</f>
        <v/>
      </c>
    </row>
    <row r="710" spans="1:27" ht="15" customHeight="1" x14ac:dyDescent="0.25">
      <c r="A710" s="85"/>
      <c r="B710" s="217" t="str">
        <f>IF(A710&lt;&gt;"",_xlfn.MAXIFS($B$1:B709,$A$1:A709,A710)+1,"")</f>
        <v/>
      </c>
      <c r="C710" s="50"/>
      <c r="D710" s="50"/>
      <c r="E710" s="50"/>
      <c r="F710" s="50"/>
      <c r="G710" s="280"/>
      <c r="H710" s="293"/>
      <c r="I710" s="292"/>
      <c r="J710" s="292"/>
      <c r="K710" s="200"/>
      <c r="L710" s="200"/>
      <c r="M710" s="89" t="str">
        <f>IFERROR(VLOOKUP(H710,Lijsten!$H$1:$I$100,2,0),"")</f>
        <v/>
      </c>
      <c r="N710" s="89" t="str" cm="1">
        <f t="array" ref="N710">IFERROR(_xlfn.IFS(AND(LEFT(F710,6)="Arbeid",RIGHT(F710,3)&lt;&gt;"IKS"),IFERROR(VLOOKUP($G710,Tb_KostenTypen[],2,0),"tarief"),RIGHT(F710,3)="IKS","Uurtarief",LEFT(F710,6)="Arbeid","Uurtarief",AND(LEFT(F710,8)="Bijdrage",RIGHT(F710,15)="(vrijwilligers)"),"Vast tarief"),"")</f>
        <v/>
      </c>
      <c r="O710" s="90"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0"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1"/>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59"/>
      <c r="Z710" s="49"/>
      <c r="AA710" s="37" t="str" cm="1">
        <f t="array" ref="AA710">IFERROR(IF(INDEX(SubsidieTabel!$Q$1:$T$9,MATCH($F710,SubsidieTabel!$Q$1:$Q$9,0),IFERROR(MATCH(Methode_Keuze,SubsidieTabel!$Q$1:$T$1,0),2))&lt;&gt;1=TRUE,"ja",""),"")</f>
        <v/>
      </c>
    </row>
    <row r="711" spans="1:27" ht="15" customHeight="1" x14ac:dyDescent="0.25">
      <c r="A711" s="85"/>
      <c r="B711" s="217" t="str">
        <f>IF(A711&lt;&gt;"",_xlfn.MAXIFS($B$1:B710,$A$1:A710,A711)+1,"")</f>
        <v/>
      </c>
      <c r="C711" s="50"/>
      <c r="D711" s="50"/>
      <c r="E711" s="50"/>
      <c r="F711" s="50"/>
      <c r="G711" s="280"/>
      <c r="H711" s="293"/>
      <c r="I711" s="292"/>
      <c r="J711" s="292"/>
      <c r="K711" s="200"/>
      <c r="L711" s="200"/>
      <c r="M711" s="89" t="str">
        <f>IFERROR(VLOOKUP(H711,Lijsten!$H$1:$I$100,2,0),"")</f>
        <v/>
      </c>
      <c r="N711" s="89" t="str" cm="1">
        <f t="array" ref="N711">IFERROR(_xlfn.IFS(AND(LEFT(F711,6)="Arbeid",RIGHT(F711,3)&lt;&gt;"IKS"),IFERROR(VLOOKUP($G711,Tb_KostenTypen[],2,0),"tarief"),RIGHT(F711,3)="IKS","Uurtarief",LEFT(F711,6)="Arbeid","Uurtarief",AND(LEFT(F711,8)="Bijdrage",RIGHT(F711,15)="(vrijwilligers)"),"Vast tarief"),"")</f>
        <v/>
      </c>
      <c r="O711" s="90"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0"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1"/>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59"/>
      <c r="Z711" s="49"/>
      <c r="AA711" s="37" t="str" cm="1">
        <f t="array" ref="AA711">IFERROR(IF(INDEX(SubsidieTabel!$Q$1:$T$9,MATCH($F711,SubsidieTabel!$Q$1:$Q$9,0),IFERROR(MATCH(Methode_Keuze,SubsidieTabel!$Q$1:$T$1,0),2))&lt;&gt;1=TRUE,"ja",""),"")</f>
        <v/>
      </c>
    </row>
    <row r="712" spans="1:27" ht="15" customHeight="1" x14ac:dyDescent="0.25">
      <c r="A712" s="85"/>
      <c r="B712" s="217" t="str">
        <f>IF(A712&lt;&gt;"",_xlfn.MAXIFS($B$1:B711,$A$1:A711,A712)+1,"")</f>
        <v/>
      </c>
      <c r="C712" s="50"/>
      <c r="D712" s="50"/>
      <c r="E712" s="50"/>
      <c r="F712" s="50"/>
      <c r="G712" s="280"/>
      <c r="H712" s="293"/>
      <c r="I712" s="292"/>
      <c r="J712" s="292"/>
      <c r="K712" s="200"/>
      <c r="L712" s="200"/>
      <c r="M712" s="89" t="str">
        <f>IFERROR(VLOOKUP(H712,Lijsten!$H$1:$I$100,2,0),"")</f>
        <v/>
      </c>
      <c r="N712" s="89" t="str" cm="1">
        <f t="array" ref="N712">IFERROR(_xlfn.IFS(AND(LEFT(F712,6)="Arbeid",RIGHT(F712,3)&lt;&gt;"IKS"),IFERROR(VLOOKUP($G712,Tb_KostenTypen[],2,0),"tarief"),RIGHT(F712,3)="IKS","Uurtarief",LEFT(F712,6)="Arbeid","Uurtarief",AND(LEFT(F712,8)="Bijdrage",RIGHT(F712,15)="(vrijwilligers)"),"Vast tarief"),"")</f>
        <v/>
      </c>
      <c r="O712" s="90"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0"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1"/>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59"/>
      <c r="Z712" s="49"/>
      <c r="AA712" s="37" t="str" cm="1">
        <f t="array" ref="AA712">IFERROR(IF(INDEX(SubsidieTabel!$Q$1:$T$9,MATCH($F712,SubsidieTabel!$Q$1:$Q$9,0),IFERROR(MATCH(Methode_Keuze,SubsidieTabel!$Q$1:$T$1,0),2))&lt;&gt;1=TRUE,"ja",""),"")</f>
        <v/>
      </c>
    </row>
    <row r="713" spans="1:27" ht="15" customHeight="1" x14ac:dyDescent="0.25">
      <c r="A713" s="85"/>
      <c r="B713" s="217" t="str">
        <f>IF(A713&lt;&gt;"",_xlfn.MAXIFS($B$1:B712,$A$1:A712,A713)+1,"")</f>
        <v/>
      </c>
      <c r="C713" s="50"/>
      <c r="D713" s="50"/>
      <c r="E713" s="50"/>
      <c r="F713" s="50"/>
      <c r="G713" s="280"/>
      <c r="H713" s="293"/>
      <c r="I713" s="292"/>
      <c r="J713" s="292"/>
      <c r="K713" s="200"/>
      <c r="L713" s="200"/>
      <c r="M713" s="89" t="str">
        <f>IFERROR(VLOOKUP(H713,Lijsten!$H$1:$I$100,2,0),"")</f>
        <v/>
      </c>
      <c r="N713" s="89" t="str" cm="1">
        <f t="array" ref="N713">IFERROR(_xlfn.IFS(AND(LEFT(F713,6)="Arbeid",RIGHT(F713,3)&lt;&gt;"IKS"),IFERROR(VLOOKUP($G713,Tb_KostenTypen[],2,0),"tarief"),RIGHT(F713,3)="IKS","Uurtarief",LEFT(F713,6)="Arbeid","Uurtarief",AND(LEFT(F713,8)="Bijdrage",RIGHT(F713,15)="(vrijwilligers)"),"Vast tarief"),"")</f>
        <v/>
      </c>
      <c r="O713" s="90"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0"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1"/>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59"/>
      <c r="Z713" s="49"/>
      <c r="AA713" s="37" t="str" cm="1">
        <f t="array" ref="AA713">IFERROR(IF(INDEX(SubsidieTabel!$Q$1:$T$9,MATCH($F713,SubsidieTabel!$Q$1:$Q$9,0),IFERROR(MATCH(Methode_Keuze,SubsidieTabel!$Q$1:$T$1,0),2))&lt;&gt;1=TRUE,"ja",""),"")</f>
        <v/>
      </c>
    </row>
    <row r="714" spans="1:27" ht="15" customHeight="1" x14ac:dyDescent="0.25">
      <c r="A714" s="85"/>
      <c r="B714" s="217" t="str">
        <f>IF(A714&lt;&gt;"",_xlfn.MAXIFS($B$1:B713,$A$1:A713,A714)+1,"")</f>
        <v/>
      </c>
      <c r="C714" s="50"/>
      <c r="D714" s="50"/>
      <c r="E714" s="50"/>
      <c r="F714" s="50"/>
      <c r="G714" s="280"/>
      <c r="H714" s="293"/>
      <c r="I714" s="292"/>
      <c r="J714" s="292"/>
      <c r="K714" s="200"/>
      <c r="L714" s="200"/>
      <c r="M714" s="89" t="str">
        <f>IFERROR(VLOOKUP(H714,Lijsten!$H$1:$I$100,2,0),"")</f>
        <v/>
      </c>
      <c r="N714" s="89" t="str" cm="1">
        <f t="array" ref="N714">IFERROR(_xlfn.IFS(AND(LEFT(F714,6)="Arbeid",RIGHT(F714,3)&lt;&gt;"IKS"),IFERROR(VLOOKUP($G714,Tb_KostenTypen[],2,0),"tarief"),RIGHT(F714,3)="IKS","Uurtarief",LEFT(F714,6)="Arbeid","Uurtarief",AND(LEFT(F714,8)="Bijdrage",RIGHT(F714,15)="(vrijwilligers)"),"Vast tarief"),"")</f>
        <v/>
      </c>
      <c r="O714" s="90"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0"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1"/>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59"/>
      <c r="Z714" s="49"/>
      <c r="AA714" s="37" t="str" cm="1">
        <f t="array" ref="AA714">IFERROR(IF(INDEX(SubsidieTabel!$Q$1:$T$9,MATCH($F714,SubsidieTabel!$Q$1:$Q$9,0),IFERROR(MATCH(Methode_Keuze,SubsidieTabel!$Q$1:$T$1,0),2))&lt;&gt;1=TRUE,"ja",""),"")</f>
        <v/>
      </c>
    </row>
    <row r="715" spans="1:27" ht="15" customHeight="1" x14ac:dyDescent="0.25">
      <c r="A715" s="85"/>
      <c r="B715" s="217" t="str">
        <f>IF(A715&lt;&gt;"",_xlfn.MAXIFS($B$1:B714,$A$1:A714,A715)+1,"")</f>
        <v/>
      </c>
      <c r="C715" s="50"/>
      <c r="D715" s="50"/>
      <c r="E715" s="50"/>
      <c r="F715" s="50"/>
      <c r="G715" s="280"/>
      <c r="H715" s="293"/>
      <c r="I715" s="292"/>
      <c r="J715" s="292"/>
      <c r="K715" s="200"/>
      <c r="L715" s="200"/>
      <c r="M715" s="89" t="str">
        <f>IFERROR(VLOOKUP(H715,Lijsten!$H$1:$I$100,2,0),"")</f>
        <v/>
      </c>
      <c r="N715" s="89" t="str" cm="1">
        <f t="array" ref="N715">IFERROR(_xlfn.IFS(AND(LEFT(F715,6)="Arbeid",RIGHT(F715,3)&lt;&gt;"IKS"),IFERROR(VLOOKUP($G715,Tb_KostenTypen[],2,0),"tarief"),RIGHT(F715,3)="IKS","Uurtarief",LEFT(F715,6)="Arbeid","Uurtarief",AND(LEFT(F715,8)="Bijdrage",RIGHT(F715,15)="(vrijwilligers)"),"Vast tarief"),"")</f>
        <v/>
      </c>
      <c r="O715" s="90"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0"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1"/>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59"/>
      <c r="Z715" s="49"/>
      <c r="AA715" s="37" t="str" cm="1">
        <f t="array" ref="AA715">IFERROR(IF(INDEX(SubsidieTabel!$Q$1:$T$9,MATCH($F715,SubsidieTabel!$Q$1:$Q$9,0),IFERROR(MATCH(Methode_Keuze,SubsidieTabel!$Q$1:$T$1,0),2))&lt;&gt;1=TRUE,"ja",""),"")</f>
        <v/>
      </c>
    </row>
    <row r="716" spans="1:27" ht="15" customHeight="1" x14ac:dyDescent="0.25">
      <c r="A716" s="85"/>
      <c r="B716" s="217" t="str">
        <f>IF(A716&lt;&gt;"",_xlfn.MAXIFS($B$1:B715,$A$1:A715,A716)+1,"")</f>
        <v/>
      </c>
      <c r="C716" s="50"/>
      <c r="D716" s="50"/>
      <c r="E716" s="50"/>
      <c r="F716" s="50"/>
      <c r="G716" s="280"/>
      <c r="H716" s="293"/>
      <c r="I716" s="292"/>
      <c r="J716" s="292"/>
      <c r="K716" s="200"/>
      <c r="L716" s="200"/>
      <c r="M716" s="89" t="str">
        <f>IFERROR(VLOOKUP(H716,Lijsten!$H$1:$I$100,2,0),"")</f>
        <v/>
      </c>
      <c r="N716" s="89" t="str" cm="1">
        <f t="array" ref="N716">IFERROR(_xlfn.IFS(AND(LEFT(F716,6)="Arbeid",RIGHT(F716,3)&lt;&gt;"IKS"),IFERROR(VLOOKUP($G716,Tb_KostenTypen[],2,0),"tarief"),RIGHT(F716,3)="IKS","Uurtarief",LEFT(F716,6)="Arbeid","Uurtarief",AND(LEFT(F716,8)="Bijdrage",RIGHT(F716,15)="(vrijwilligers)"),"Vast tarief"),"")</f>
        <v/>
      </c>
      <c r="O716" s="90"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0"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1"/>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59"/>
      <c r="Z716" s="49"/>
      <c r="AA716" s="37" t="str" cm="1">
        <f t="array" ref="AA716">IFERROR(IF(INDEX(SubsidieTabel!$Q$1:$T$9,MATCH($F716,SubsidieTabel!$Q$1:$Q$9,0),IFERROR(MATCH(Methode_Keuze,SubsidieTabel!$Q$1:$T$1,0),2))&lt;&gt;1=TRUE,"ja",""),"")</f>
        <v/>
      </c>
    </row>
    <row r="717" spans="1:27" ht="15" customHeight="1" x14ac:dyDescent="0.25">
      <c r="A717" s="85"/>
      <c r="B717" s="217" t="str">
        <f>IF(A717&lt;&gt;"",_xlfn.MAXIFS($B$1:B716,$A$1:A716,A717)+1,"")</f>
        <v/>
      </c>
      <c r="C717" s="50"/>
      <c r="D717" s="50"/>
      <c r="E717" s="50"/>
      <c r="F717" s="50"/>
      <c r="G717" s="280"/>
      <c r="H717" s="293"/>
      <c r="I717" s="292"/>
      <c r="J717" s="292"/>
      <c r="K717" s="200"/>
      <c r="L717" s="200"/>
      <c r="M717" s="89" t="str">
        <f>IFERROR(VLOOKUP(H717,Lijsten!$H$1:$I$100,2,0),"")</f>
        <v/>
      </c>
      <c r="N717" s="89" t="str" cm="1">
        <f t="array" ref="N717">IFERROR(_xlfn.IFS(AND(LEFT(F717,6)="Arbeid",RIGHT(F717,3)&lt;&gt;"IKS"),IFERROR(VLOOKUP($G717,Tb_KostenTypen[],2,0),"tarief"),RIGHT(F717,3)="IKS","Uurtarief",LEFT(F717,6)="Arbeid","Uurtarief",AND(LEFT(F717,8)="Bijdrage",RIGHT(F717,15)="(vrijwilligers)"),"Vast tarief"),"")</f>
        <v/>
      </c>
      <c r="O717" s="90"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0"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1"/>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59"/>
      <c r="Z717" s="49"/>
      <c r="AA717" s="37" t="str" cm="1">
        <f t="array" ref="AA717">IFERROR(IF(INDEX(SubsidieTabel!$Q$1:$T$9,MATCH($F717,SubsidieTabel!$Q$1:$Q$9,0),IFERROR(MATCH(Methode_Keuze,SubsidieTabel!$Q$1:$T$1,0),2))&lt;&gt;1=TRUE,"ja",""),"")</f>
        <v/>
      </c>
    </row>
    <row r="718" spans="1:27" ht="15" customHeight="1" x14ac:dyDescent="0.25">
      <c r="A718" s="85"/>
      <c r="B718" s="217" t="str">
        <f>IF(A718&lt;&gt;"",_xlfn.MAXIFS($B$1:B717,$A$1:A717,A718)+1,"")</f>
        <v/>
      </c>
      <c r="C718" s="50"/>
      <c r="D718" s="50"/>
      <c r="E718" s="50"/>
      <c r="F718" s="50"/>
      <c r="G718" s="280"/>
      <c r="H718" s="293"/>
      <c r="I718" s="292"/>
      <c r="J718" s="292"/>
      <c r="K718" s="200"/>
      <c r="L718" s="200"/>
      <c r="M718" s="89" t="str">
        <f>IFERROR(VLOOKUP(H718,Lijsten!$H$1:$I$100,2,0),"")</f>
        <v/>
      </c>
      <c r="N718" s="89" t="str" cm="1">
        <f t="array" ref="N718">IFERROR(_xlfn.IFS(AND(LEFT(F718,6)="Arbeid",RIGHT(F718,3)&lt;&gt;"IKS"),IFERROR(VLOOKUP($G718,Tb_KostenTypen[],2,0),"tarief"),RIGHT(F718,3)="IKS","Uurtarief",LEFT(F718,6)="Arbeid","Uurtarief",AND(LEFT(F718,8)="Bijdrage",RIGHT(F718,15)="(vrijwilligers)"),"Vast tarief"),"")</f>
        <v/>
      </c>
      <c r="O718" s="90"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0"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1"/>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59"/>
      <c r="Z718" s="49"/>
      <c r="AA718" s="37" t="str" cm="1">
        <f t="array" ref="AA718">IFERROR(IF(INDEX(SubsidieTabel!$Q$1:$T$9,MATCH($F718,SubsidieTabel!$Q$1:$Q$9,0),IFERROR(MATCH(Methode_Keuze,SubsidieTabel!$Q$1:$T$1,0),2))&lt;&gt;1=TRUE,"ja",""),"")</f>
        <v/>
      </c>
    </row>
    <row r="719" spans="1:27" ht="15" customHeight="1" x14ac:dyDescent="0.25">
      <c r="A719" s="85"/>
      <c r="B719" s="217" t="str">
        <f>IF(A719&lt;&gt;"",_xlfn.MAXIFS($B$1:B718,$A$1:A718,A719)+1,"")</f>
        <v/>
      </c>
      <c r="C719" s="50"/>
      <c r="D719" s="50"/>
      <c r="E719" s="50"/>
      <c r="F719" s="50"/>
      <c r="G719" s="280"/>
      <c r="H719" s="293"/>
      <c r="I719" s="292"/>
      <c r="J719" s="292"/>
      <c r="K719" s="200"/>
      <c r="L719" s="200"/>
      <c r="M719" s="89" t="str">
        <f>IFERROR(VLOOKUP(H719,Lijsten!$H$1:$I$100,2,0),"")</f>
        <v/>
      </c>
      <c r="N719" s="89" t="str" cm="1">
        <f t="array" ref="N719">IFERROR(_xlfn.IFS(AND(LEFT(F719,6)="Arbeid",RIGHT(F719,3)&lt;&gt;"IKS"),IFERROR(VLOOKUP($G719,Tb_KostenTypen[],2,0),"tarief"),RIGHT(F719,3)="IKS","Uurtarief",LEFT(F719,6)="Arbeid","Uurtarief",AND(LEFT(F719,8)="Bijdrage",RIGHT(F719,15)="(vrijwilligers)"),"Vast tarief"),"")</f>
        <v/>
      </c>
      <c r="O719" s="90"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0"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1"/>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59"/>
      <c r="Z719" s="49"/>
      <c r="AA719" s="37" t="str" cm="1">
        <f t="array" ref="AA719">IFERROR(IF(INDEX(SubsidieTabel!$Q$1:$T$9,MATCH($F719,SubsidieTabel!$Q$1:$Q$9,0),IFERROR(MATCH(Methode_Keuze,SubsidieTabel!$Q$1:$T$1,0),2))&lt;&gt;1=TRUE,"ja",""),"")</f>
        <v/>
      </c>
    </row>
    <row r="720" spans="1:27" ht="15" customHeight="1" x14ac:dyDescent="0.25">
      <c r="A720" s="85"/>
      <c r="B720" s="217" t="str">
        <f>IF(A720&lt;&gt;"",_xlfn.MAXIFS($B$1:B719,$A$1:A719,A720)+1,"")</f>
        <v/>
      </c>
      <c r="C720" s="50"/>
      <c r="D720" s="50"/>
      <c r="E720" s="50"/>
      <c r="F720" s="50"/>
      <c r="G720" s="280"/>
      <c r="H720" s="293"/>
      <c r="I720" s="292"/>
      <c r="J720" s="292"/>
      <c r="K720" s="200"/>
      <c r="L720" s="200"/>
      <c r="M720" s="89" t="str">
        <f>IFERROR(VLOOKUP(H720,Lijsten!$H$1:$I$100,2,0),"")</f>
        <v/>
      </c>
      <c r="N720" s="89" t="str" cm="1">
        <f t="array" ref="N720">IFERROR(_xlfn.IFS(AND(LEFT(F720,6)="Arbeid",RIGHT(F720,3)&lt;&gt;"IKS"),IFERROR(VLOOKUP($G720,Tb_KostenTypen[],2,0),"tarief"),RIGHT(F720,3)="IKS","Uurtarief",LEFT(F720,6)="Arbeid","Uurtarief",AND(LEFT(F720,8)="Bijdrage",RIGHT(F720,15)="(vrijwilligers)"),"Vast tarief"),"")</f>
        <v/>
      </c>
      <c r="O720" s="90"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0"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1"/>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59"/>
      <c r="Z720" s="49"/>
      <c r="AA720" s="37" t="str" cm="1">
        <f t="array" ref="AA720">IFERROR(IF(INDEX(SubsidieTabel!$Q$1:$T$9,MATCH($F720,SubsidieTabel!$Q$1:$Q$9,0),IFERROR(MATCH(Methode_Keuze,SubsidieTabel!$Q$1:$T$1,0),2))&lt;&gt;1=TRUE,"ja",""),"")</f>
        <v/>
      </c>
    </row>
    <row r="721" spans="1:27" ht="15" customHeight="1" x14ac:dyDescent="0.25">
      <c r="A721" s="85"/>
      <c r="B721" s="217" t="str">
        <f>IF(A721&lt;&gt;"",_xlfn.MAXIFS($B$1:B720,$A$1:A720,A721)+1,"")</f>
        <v/>
      </c>
      <c r="C721" s="50"/>
      <c r="D721" s="50"/>
      <c r="E721" s="50"/>
      <c r="F721" s="50"/>
      <c r="G721" s="280"/>
      <c r="H721" s="293"/>
      <c r="I721" s="292"/>
      <c r="J721" s="292"/>
      <c r="K721" s="200"/>
      <c r="L721" s="200"/>
      <c r="M721" s="89" t="str">
        <f>IFERROR(VLOOKUP(H721,Lijsten!$H$1:$I$100,2,0),"")</f>
        <v/>
      </c>
      <c r="N721" s="89" t="str" cm="1">
        <f t="array" ref="N721">IFERROR(_xlfn.IFS(AND(LEFT(F721,6)="Arbeid",RIGHT(F721,3)&lt;&gt;"IKS"),IFERROR(VLOOKUP($G721,Tb_KostenTypen[],2,0),"tarief"),RIGHT(F721,3)="IKS","Uurtarief",LEFT(F721,6)="Arbeid","Uurtarief",AND(LEFT(F721,8)="Bijdrage",RIGHT(F721,15)="(vrijwilligers)"),"Vast tarief"),"")</f>
        <v/>
      </c>
      <c r="O721" s="90"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0"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1"/>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59"/>
      <c r="Z721" s="49"/>
      <c r="AA721" s="37" t="str" cm="1">
        <f t="array" ref="AA721">IFERROR(IF(INDEX(SubsidieTabel!$Q$1:$T$9,MATCH($F721,SubsidieTabel!$Q$1:$Q$9,0),IFERROR(MATCH(Methode_Keuze,SubsidieTabel!$Q$1:$T$1,0),2))&lt;&gt;1=TRUE,"ja",""),"")</f>
        <v/>
      </c>
    </row>
    <row r="722" spans="1:27" ht="15" customHeight="1" x14ac:dyDescent="0.25">
      <c r="A722" s="85"/>
      <c r="B722" s="217" t="str">
        <f>IF(A722&lt;&gt;"",_xlfn.MAXIFS($B$1:B721,$A$1:A721,A722)+1,"")</f>
        <v/>
      </c>
      <c r="C722" s="50"/>
      <c r="D722" s="50"/>
      <c r="E722" s="50"/>
      <c r="F722" s="50"/>
      <c r="G722" s="280"/>
      <c r="H722" s="293"/>
      <c r="I722" s="292"/>
      <c r="J722" s="292"/>
      <c r="K722" s="200"/>
      <c r="L722" s="200"/>
      <c r="M722" s="89" t="str">
        <f>IFERROR(VLOOKUP(H722,Lijsten!$H$1:$I$100,2,0),"")</f>
        <v/>
      </c>
      <c r="N722" s="89" t="str" cm="1">
        <f t="array" ref="N722">IFERROR(_xlfn.IFS(AND(LEFT(F722,6)="Arbeid",RIGHT(F722,3)&lt;&gt;"IKS"),IFERROR(VLOOKUP($G722,Tb_KostenTypen[],2,0),"tarief"),RIGHT(F722,3)="IKS","Uurtarief",LEFT(F722,6)="Arbeid","Uurtarief",AND(LEFT(F722,8)="Bijdrage",RIGHT(F722,15)="(vrijwilligers)"),"Vast tarief"),"")</f>
        <v/>
      </c>
      <c r="O722" s="90"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0"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1"/>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59"/>
      <c r="Z722" s="49"/>
      <c r="AA722" s="37" t="str" cm="1">
        <f t="array" ref="AA722">IFERROR(IF(INDEX(SubsidieTabel!$Q$1:$T$9,MATCH($F722,SubsidieTabel!$Q$1:$Q$9,0),IFERROR(MATCH(Methode_Keuze,SubsidieTabel!$Q$1:$T$1,0),2))&lt;&gt;1=TRUE,"ja",""),"")</f>
        <v/>
      </c>
    </row>
    <row r="723" spans="1:27" ht="15" customHeight="1" x14ac:dyDescent="0.25">
      <c r="A723" s="85"/>
      <c r="B723" s="217" t="str">
        <f>IF(A723&lt;&gt;"",_xlfn.MAXIFS($B$1:B722,$A$1:A722,A723)+1,"")</f>
        <v/>
      </c>
      <c r="C723" s="50"/>
      <c r="D723" s="50"/>
      <c r="E723" s="50"/>
      <c r="F723" s="50"/>
      <c r="G723" s="280"/>
      <c r="H723" s="293"/>
      <c r="I723" s="292"/>
      <c r="J723" s="292"/>
      <c r="K723" s="200"/>
      <c r="L723" s="200"/>
      <c r="M723" s="89" t="str">
        <f>IFERROR(VLOOKUP(H723,Lijsten!$H$1:$I$100,2,0),"")</f>
        <v/>
      </c>
      <c r="N723" s="89" t="str" cm="1">
        <f t="array" ref="N723">IFERROR(_xlfn.IFS(AND(LEFT(F723,6)="Arbeid",RIGHT(F723,3)&lt;&gt;"IKS"),IFERROR(VLOOKUP($G723,Tb_KostenTypen[],2,0),"tarief"),RIGHT(F723,3)="IKS","Uurtarief",LEFT(F723,6)="Arbeid","Uurtarief",AND(LEFT(F723,8)="Bijdrage",RIGHT(F723,15)="(vrijwilligers)"),"Vast tarief"),"")</f>
        <v/>
      </c>
      <c r="O723" s="90"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0"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1"/>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59"/>
      <c r="Z723" s="49"/>
      <c r="AA723" s="37" t="str" cm="1">
        <f t="array" ref="AA723">IFERROR(IF(INDEX(SubsidieTabel!$Q$1:$T$9,MATCH($F723,SubsidieTabel!$Q$1:$Q$9,0),IFERROR(MATCH(Methode_Keuze,SubsidieTabel!$Q$1:$T$1,0),2))&lt;&gt;1=TRUE,"ja",""),"")</f>
        <v/>
      </c>
    </row>
    <row r="724" spans="1:27" ht="15" customHeight="1" x14ac:dyDescent="0.25">
      <c r="A724" s="85"/>
      <c r="B724" s="217" t="str">
        <f>IF(A724&lt;&gt;"",_xlfn.MAXIFS($B$1:B723,$A$1:A723,A724)+1,"")</f>
        <v/>
      </c>
      <c r="C724" s="50"/>
      <c r="D724" s="50"/>
      <c r="E724" s="50"/>
      <c r="F724" s="50"/>
      <c r="G724" s="280"/>
      <c r="H724" s="293"/>
      <c r="I724" s="292"/>
      <c r="J724" s="292"/>
      <c r="K724" s="200"/>
      <c r="L724" s="200"/>
      <c r="M724" s="89" t="str">
        <f>IFERROR(VLOOKUP(H724,Lijsten!$H$1:$I$100,2,0),"")</f>
        <v/>
      </c>
      <c r="N724" s="89" t="str" cm="1">
        <f t="array" ref="N724">IFERROR(_xlfn.IFS(AND(LEFT(F724,6)="Arbeid",RIGHT(F724,3)&lt;&gt;"IKS"),IFERROR(VLOOKUP($G724,Tb_KostenTypen[],2,0),"tarief"),RIGHT(F724,3)="IKS","Uurtarief",LEFT(F724,6)="Arbeid","Uurtarief",AND(LEFT(F724,8)="Bijdrage",RIGHT(F724,15)="(vrijwilligers)"),"Vast tarief"),"")</f>
        <v/>
      </c>
      <c r="O724" s="90"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0"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1"/>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59"/>
      <c r="Z724" s="49"/>
      <c r="AA724" s="37" t="str" cm="1">
        <f t="array" ref="AA724">IFERROR(IF(INDEX(SubsidieTabel!$Q$1:$T$9,MATCH($F724,SubsidieTabel!$Q$1:$Q$9,0),IFERROR(MATCH(Methode_Keuze,SubsidieTabel!$Q$1:$T$1,0),2))&lt;&gt;1=TRUE,"ja",""),"")</f>
        <v/>
      </c>
    </row>
    <row r="725" spans="1:27" ht="15" customHeight="1" x14ac:dyDescent="0.25">
      <c r="A725" s="85"/>
      <c r="B725" s="217" t="str">
        <f>IF(A725&lt;&gt;"",_xlfn.MAXIFS($B$1:B724,$A$1:A724,A725)+1,"")</f>
        <v/>
      </c>
      <c r="C725" s="50"/>
      <c r="D725" s="50"/>
      <c r="E725" s="50"/>
      <c r="F725" s="50"/>
      <c r="G725" s="280"/>
      <c r="H725" s="293"/>
      <c r="I725" s="292"/>
      <c r="J725" s="292"/>
      <c r="K725" s="200"/>
      <c r="L725" s="200"/>
      <c r="M725" s="89" t="str">
        <f>IFERROR(VLOOKUP(H725,Lijsten!$H$1:$I$100,2,0),"")</f>
        <v/>
      </c>
      <c r="N725" s="89" t="str" cm="1">
        <f t="array" ref="N725">IFERROR(_xlfn.IFS(AND(LEFT(F725,6)="Arbeid",RIGHT(F725,3)&lt;&gt;"IKS"),IFERROR(VLOOKUP($G725,Tb_KostenTypen[],2,0),"tarief"),RIGHT(F725,3)="IKS","Uurtarief",LEFT(F725,6)="Arbeid","Uurtarief",AND(LEFT(F725,8)="Bijdrage",RIGHT(F725,15)="(vrijwilligers)"),"Vast tarief"),"")</f>
        <v/>
      </c>
      <c r="O725" s="90"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0"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1"/>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59"/>
      <c r="Z725" s="49"/>
      <c r="AA725" s="37" t="str" cm="1">
        <f t="array" ref="AA725">IFERROR(IF(INDEX(SubsidieTabel!$Q$1:$T$9,MATCH($F725,SubsidieTabel!$Q$1:$Q$9,0),IFERROR(MATCH(Methode_Keuze,SubsidieTabel!$Q$1:$T$1,0),2))&lt;&gt;1=TRUE,"ja",""),"")</f>
        <v/>
      </c>
    </row>
    <row r="726" spans="1:27" ht="15" customHeight="1" x14ac:dyDescent="0.25">
      <c r="A726" s="85"/>
      <c r="B726" s="217" t="str">
        <f>IF(A726&lt;&gt;"",_xlfn.MAXIFS($B$1:B725,$A$1:A725,A726)+1,"")</f>
        <v/>
      </c>
      <c r="C726" s="50"/>
      <c r="D726" s="50"/>
      <c r="E726" s="50"/>
      <c r="F726" s="50"/>
      <c r="G726" s="280"/>
      <c r="H726" s="293"/>
      <c r="I726" s="292"/>
      <c r="J726" s="292"/>
      <c r="K726" s="200"/>
      <c r="L726" s="200"/>
      <c r="M726" s="89" t="str">
        <f>IFERROR(VLOOKUP(H726,Lijsten!$H$1:$I$100,2,0),"")</f>
        <v/>
      </c>
      <c r="N726" s="89" t="str" cm="1">
        <f t="array" ref="N726">IFERROR(_xlfn.IFS(AND(LEFT(F726,6)="Arbeid",RIGHT(F726,3)&lt;&gt;"IKS"),IFERROR(VLOOKUP($G726,Tb_KostenTypen[],2,0),"tarief"),RIGHT(F726,3)="IKS","Uurtarief",LEFT(F726,6)="Arbeid","Uurtarief",AND(LEFT(F726,8)="Bijdrage",RIGHT(F726,15)="(vrijwilligers)"),"Vast tarief"),"")</f>
        <v/>
      </c>
      <c r="O726" s="90"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0"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1"/>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59"/>
      <c r="Z726" s="49"/>
      <c r="AA726" s="37" t="str" cm="1">
        <f t="array" ref="AA726">IFERROR(IF(INDEX(SubsidieTabel!$Q$1:$T$9,MATCH($F726,SubsidieTabel!$Q$1:$Q$9,0),IFERROR(MATCH(Methode_Keuze,SubsidieTabel!$Q$1:$T$1,0),2))&lt;&gt;1=TRUE,"ja",""),"")</f>
        <v/>
      </c>
    </row>
    <row r="727" spans="1:27" ht="15" customHeight="1" x14ac:dyDescent="0.25">
      <c r="A727" s="85"/>
      <c r="B727" s="217" t="str">
        <f>IF(A727&lt;&gt;"",_xlfn.MAXIFS($B$1:B726,$A$1:A726,A727)+1,"")</f>
        <v/>
      </c>
      <c r="C727" s="50"/>
      <c r="D727" s="50"/>
      <c r="E727" s="50"/>
      <c r="F727" s="50"/>
      <c r="G727" s="280"/>
      <c r="H727" s="293"/>
      <c r="I727" s="292"/>
      <c r="J727" s="292"/>
      <c r="K727" s="200"/>
      <c r="L727" s="200"/>
      <c r="M727" s="89" t="str">
        <f>IFERROR(VLOOKUP(H727,Lijsten!$H$1:$I$100,2,0),"")</f>
        <v/>
      </c>
      <c r="N727" s="89" t="str" cm="1">
        <f t="array" ref="N727">IFERROR(_xlfn.IFS(AND(LEFT(F727,6)="Arbeid",RIGHT(F727,3)&lt;&gt;"IKS"),IFERROR(VLOOKUP($G727,Tb_KostenTypen[],2,0),"tarief"),RIGHT(F727,3)="IKS","Uurtarief",LEFT(F727,6)="Arbeid","Uurtarief",AND(LEFT(F727,8)="Bijdrage",RIGHT(F727,15)="(vrijwilligers)"),"Vast tarief"),"")</f>
        <v/>
      </c>
      <c r="O727" s="90"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0"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1"/>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59"/>
      <c r="Z727" s="49"/>
      <c r="AA727" s="37" t="str" cm="1">
        <f t="array" ref="AA727">IFERROR(IF(INDEX(SubsidieTabel!$Q$1:$T$9,MATCH($F727,SubsidieTabel!$Q$1:$Q$9,0),IFERROR(MATCH(Methode_Keuze,SubsidieTabel!$Q$1:$T$1,0),2))&lt;&gt;1=TRUE,"ja",""),"")</f>
        <v/>
      </c>
    </row>
    <row r="728" spans="1:27" ht="15" customHeight="1" x14ac:dyDescent="0.25">
      <c r="A728" s="85"/>
      <c r="B728" s="217" t="str">
        <f>IF(A728&lt;&gt;"",_xlfn.MAXIFS($B$1:B727,$A$1:A727,A728)+1,"")</f>
        <v/>
      </c>
      <c r="C728" s="50"/>
      <c r="D728" s="50"/>
      <c r="E728" s="50"/>
      <c r="F728" s="50"/>
      <c r="G728" s="280"/>
      <c r="H728" s="293"/>
      <c r="I728" s="292"/>
      <c r="J728" s="292"/>
      <c r="K728" s="200"/>
      <c r="L728" s="200"/>
      <c r="M728" s="89" t="str">
        <f>IFERROR(VLOOKUP(H728,Lijsten!$H$1:$I$100,2,0),"")</f>
        <v/>
      </c>
      <c r="N728" s="89" t="str" cm="1">
        <f t="array" ref="N728">IFERROR(_xlfn.IFS(AND(LEFT(F728,6)="Arbeid",RIGHT(F728,3)&lt;&gt;"IKS"),IFERROR(VLOOKUP($G728,Tb_KostenTypen[],2,0),"tarief"),RIGHT(F728,3)="IKS","Uurtarief",LEFT(F728,6)="Arbeid","Uurtarief",AND(LEFT(F728,8)="Bijdrage",RIGHT(F728,15)="(vrijwilligers)"),"Vast tarief"),"")</f>
        <v/>
      </c>
      <c r="O728" s="90"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0"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1"/>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59"/>
      <c r="Z728" s="49"/>
      <c r="AA728" s="37" t="str" cm="1">
        <f t="array" ref="AA728">IFERROR(IF(INDEX(SubsidieTabel!$Q$1:$T$9,MATCH($F728,SubsidieTabel!$Q$1:$Q$9,0),IFERROR(MATCH(Methode_Keuze,SubsidieTabel!$Q$1:$T$1,0),2))&lt;&gt;1=TRUE,"ja",""),"")</f>
        <v/>
      </c>
    </row>
    <row r="729" spans="1:27" ht="15" customHeight="1" x14ac:dyDescent="0.25">
      <c r="A729" s="85"/>
      <c r="B729" s="217" t="str">
        <f>IF(A729&lt;&gt;"",_xlfn.MAXIFS($B$1:B728,$A$1:A728,A729)+1,"")</f>
        <v/>
      </c>
      <c r="C729" s="50"/>
      <c r="D729" s="50"/>
      <c r="E729" s="50"/>
      <c r="F729" s="50"/>
      <c r="G729" s="280"/>
      <c r="H729" s="293"/>
      <c r="I729" s="292"/>
      <c r="J729" s="292"/>
      <c r="K729" s="200"/>
      <c r="L729" s="200"/>
      <c r="M729" s="89" t="str">
        <f>IFERROR(VLOOKUP(H729,Lijsten!$H$1:$I$100,2,0),"")</f>
        <v/>
      </c>
      <c r="N729" s="89" t="str" cm="1">
        <f t="array" ref="N729">IFERROR(_xlfn.IFS(AND(LEFT(F729,6)="Arbeid",RIGHT(F729,3)&lt;&gt;"IKS"),IFERROR(VLOOKUP($G729,Tb_KostenTypen[],2,0),"tarief"),RIGHT(F729,3)="IKS","Uurtarief",LEFT(F729,6)="Arbeid","Uurtarief",AND(LEFT(F729,8)="Bijdrage",RIGHT(F729,15)="(vrijwilligers)"),"Vast tarief"),"")</f>
        <v/>
      </c>
      <c r="O729" s="90"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0"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1"/>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59"/>
      <c r="Z729" s="49"/>
      <c r="AA729" s="37" t="str" cm="1">
        <f t="array" ref="AA729">IFERROR(IF(INDEX(SubsidieTabel!$Q$1:$T$9,MATCH($F729,SubsidieTabel!$Q$1:$Q$9,0),IFERROR(MATCH(Methode_Keuze,SubsidieTabel!$Q$1:$T$1,0),2))&lt;&gt;1=TRUE,"ja",""),"")</f>
        <v/>
      </c>
    </row>
    <row r="730" spans="1:27" ht="15" customHeight="1" x14ac:dyDescent="0.25">
      <c r="A730" s="85"/>
      <c r="B730" s="217" t="str">
        <f>IF(A730&lt;&gt;"",_xlfn.MAXIFS($B$1:B729,$A$1:A729,A730)+1,"")</f>
        <v/>
      </c>
      <c r="C730" s="50"/>
      <c r="D730" s="50"/>
      <c r="E730" s="50"/>
      <c r="F730" s="50"/>
      <c r="G730" s="280"/>
      <c r="H730" s="293"/>
      <c r="I730" s="292"/>
      <c r="J730" s="292"/>
      <c r="K730" s="200"/>
      <c r="L730" s="200"/>
      <c r="M730" s="89" t="str">
        <f>IFERROR(VLOOKUP(H730,Lijsten!$H$1:$I$100,2,0),"")</f>
        <v/>
      </c>
      <c r="N730" s="89" t="str" cm="1">
        <f t="array" ref="N730">IFERROR(_xlfn.IFS(AND(LEFT(F730,6)="Arbeid",RIGHT(F730,3)&lt;&gt;"IKS"),IFERROR(VLOOKUP($G730,Tb_KostenTypen[],2,0),"tarief"),RIGHT(F730,3)="IKS","Uurtarief",LEFT(F730,6)="Arbeid","Uurtarief",AND(LEFT(F730,8)="Bijdrage",RIGHT(F730,15)="(vrijwilligers)"),"Vast tarief"),"")</f>
        <v/>
      </c>
      <c r="O730" s="90"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0"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1"/>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59"/>
      <c r="Z730" s="49"/>
      <c r="AA730" s="37" t="str" cm="1">
        <f t="array" ref="AA730">IFERROR(IF(INDEX(SubsidieTabel!$Q$1:$T$9,MATCH($F730,SubsidieTabel!$Q$1:$Q$9,0),IFERROR(MATCH(Methode_Keuze,SubsidieTabel!$Q$1:$T$1,0),2))&lt;&gt;1=TRUE,"ja",""),"")</f>
        <v/>
      </c>
    </row>
    <row r="731" spans="1:27" ht="15" customHeight="1" x14ac:dyDescent="0.25">
      <c r="A731" s="85"/>
      <c r="B731" s="217" t="str">
        <f>IF(A731&lt;&gt;"",_xlfn.MAXIFS($B$1:B730,$A$1:A730,A731)+1,"")</f>
        <v/>
      </c>
      <c r="C731" s="50"/>
      <c r="D731" s="50"/>
      <c r="E731" s="50"/>
      <c r="F731" s="50"/>
      <c r="G731" s="280"/>
      <c r="H731" s="293"/>
      <c r="I731" s="292"/>
      <c r="J731" s="292"/>
      <c r="K731" s="200"/>
      <c r="L731" s="200"/>
      <c r="M731" s="89" t="str">
        <f>IFERROR(VLOOKUP(H731,Lijsten!$H$1:$I$100,2,0),"")</f>
        <v/>
      </c>
      <c r="N731" s="89" t="str" cm="1">
        <f t="array" ref="N731">IFERROR(_xlfn.IFS(AND(LEFT(F731,6)="Arbeid",RIGHT(F731,3)&lt;&gt;"IKS"),IFERROR(VLOOKUP($G731,Tb_KostenTypen[],2,0),"tarief"),RIGHT(F731,3)="IKS","Uurtarief",LEFT(F731,6)="Arbeid","Uurtarief",AND(LEFT(F731,8)="Bijdrage",RIGHT(F731,15)="(vrijwilligers)"),"Vast tarief"),"")</f>
        <v/>
      </c>
      <c r="O731" s="90"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0"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1"/>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59"/>
      <c r="Z731" s="49"/>
      <c r="AA731" s="37" t="str" cm="1">
        <f t="array" ref="AA731">IFERROR(IF(INDEX(SubsidieTabel!$Q$1:$T$9,MATCH($F731,SubsidieTabel!$Q$1:$Q$9,0),IFERROR(MATCH(Methode_Keuze,SubsidieTabel!$Q$1:$T$1,0),2))&lt;&gt;1=TRUE,"ja",""),"")</f>
        <v/>
      </c>
    </row>
    <row r="732" spans="1:27" ht="15" customHeight="1" x14ac:dyDescent="0.25">
      <c r="A732" s="85"/>
      <c r="B732" s="217" t="str">
        <f>IF(A732&lt;&gt;"",_xlfn.MAXIFS($B$1:B731,$A$1:A731,A732)+1,"")</f>
        <v/>
      </c>
      <c r="C732" s="50"/>
      <c r="D732" s="50"/>
      <c r="E732" s="50"/>
      <c r="F732" s="50"/>
      <c r="G732" s="280"/>
      <c r="H732" s="293"/>
      <c r="I732" s="292"/>
      <c r="J732" s="292"/>
      <c r="K732" s="200"/>
      <c r="L732" s="200"/>
      <c r="M732" s="89" t="str">
        <f>IFERROR(VLOOKUP(H732,Lijsten!$H$1:$I$100,2,0),"")</f>
        <v/>
      </c>
      <c r="N732" s="89" t="str" cm="1">
        <f t="array" ref="N732">IFERROR(_xlfn.IFS(AND(LEFT(F732,6)="Arbeid",RIGHT(F732,3)&lt;&gt;"IKS"),IFERROR(VLOOKUP($G732,Tb_KostenTypen[],2,0),"tarief"),RIGHT(F732,3)="IKS","Uurtarief",LEFT(F732,6)="Arbeid","Uurtarief",AND(LEFT(F732,8)="Bijdrage",RIGHT(F732,15)="(vrijwilligers)"),"Vast tarief"),"")</f>
        <v/>
      </c>
      <c r="O732" s="90"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0"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1"/>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59"/>
      <c r="Z732" s="49"/>
      <c r="AA732" s="37" t="str" cm="1">
        <f t="array" ref="AA732">IFERROR(IF(INDEX(SubsidieTabel!$Q$1:$T$9,MATCH($F732,SubsidieTabel!$Q$1:$Q$9,0),IFERROR(MATCH(Methode_Keuze,SubsidieTabel!$Q$1:$T$1,0),2))&lt;&gt;1=TRUE,"ja",""),"")</f>
        <v/>
      </c>
    </row>
    <row r="733" spans="1:27" ht="15" customHeight="1" x14ac:dyDescent="0.25">
      <c r="A733" s="85"/>
      <c r="B733" s="217" t="str">
        <f>IF(A733&lt;&gt;"",_xlfn.MAXIFS($B$1:B732,$A$1:A732,A733)+1,"")</f>
        <v/>
      </c>
      <c r="C733" s="50"/>
      <c r="D733" s="50"/>
      <c r="E733" s="50"/>
      <c r="F733" s="50"/>
      <c r="G733" s="280"/>
      <c r="H733" s="293"/>
      <c r="I733" s="292"/>
      <c r="J733" s="292"/>
      <c r="K733" s="200"/>
      <c r="L733" s="200"/>
      <c r="M733" s="89" t="str">
        <f>IFERROR(VLOOKUP(H733,Lijsten!$H$1:$I$100,2,0),"")</f>
        <v/>
      </c>
      <c r="N733" s="89" t="str" cm="1">
        <f t="array" ref="N733">IFERROR(_xlfn.IFS(AND(LEFT(F733,6)="Arbeid",RIGHT(F733,3)&lt;&gt;"IKS"),IFERROR(VLOOKUP($G733,Tb_KostenTypen[],2,0),"tarief"),RIGHT(F733,3)="IKS","Uurtarief",LEFT(F733,6)="Arbeid","Uurtarief",AND(LEFT(F733,8)="Bijdrage",RIGHT(F733,15)="(vrijwilligers)"),"Vast tarief"),"")</f>
        <v/>
      </c>
      <c r="O733" s="90"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0"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1"/>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59"/>
      <c r="Z733" s="49"/>
      <c r="AA733" s="37" t="str" cm="1">
        <f t="array" ref="AA733">IFERROR(IF(INDEX(SubsidieTabel!$Q$1:$T$9,MATCH($F733,SubsidieTabel!$Q$1:$Q$9,0),IFERROR(MATCH(Methode_Keuze,SubsidieTabel!$Q$1:$T$1,0),2))&lt;&gt;1=TRUE,"ja",""),"")</f>
        <v/>
      </c>
    </row>
    <row r="734" spans="1:27" ht="15" customHeight="1" x14ac:dyDescent="0.25">
      <c r="A734" s="85"/>
      <c r="B734" s="217" t="str">
        <f>IF(A734&lt;&gt;"",_xlfn.MAXIFS($B$1:B733,$A$1:A733,A734)+1,"")</f>
        <v/>
      </c>
      <c r="C734" s="50"/>
      <c r="D734" s="50"/>
      <c r="E734" s="50"/>
      <c r="F734" s="50"/>
      <c r="G734" s="280"/>
      <c r="H734" s="293"/>
      <c r="I734" s="292"/>
      <c r="J734" s="292"/>
      <c r="K734" s="200"/>
      <c r="L734" s="200"/>
      <c r="M734" s="89" t="str">
        <f>IFERROR(VLOOKUP(H734,Lijsten!$H$1:$I$100,2,0),"")</f>
        <v/>
      </c>
      <c r="N734" s="89" t="str" cm="1">
        <f t="array" ref="N734">IFERROR(_xlfn.IFS(AND(LEFT(F734,6)="Arbeid",RIGHT(F734,3)&lt;&gt;"IKS"),IFERROR(VLOOKUP($G734,Tb_KostenTypen[],2,0),"tarief"),RIGHT(F734,3)="IKS","Uurtarief",LEFT(F734,6)="Arbeid","Uurtarief",AND(LEFT(F734,8)="Bijdrage",RIGHT(F734,15)="(vrijwilligers)"),"Vast tarief"),"")</f>
        <v/>
      </c>
      <c r="O734" s="90"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0"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1"/>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59"/>
      <c r="Z734" s="49"/>
      <c r="AA734" s="37" t="str" cm="1">
        <f t="array" ref="AA734">IFERROR(IF(INDEX(SubsidieTabel!$Q$1:$T$9,MATCH($F734,SubsidieTabel!$Q$1:$Q$9,0),IFERROR(MATCH(Methode_Keuze,SubsidieTabel!$Q$1:$T$1,0),2))&lt;&gt;1=TRUE,"ja",""),"")</f>
        <v/>
      </c>
    </row>
    <row r="735" spans="1:27" ht="15" customHeight="1" x14ac:dyDescent="0.25">
      <c r="A735" s="85"/>
      <c r="B735" s="217" t="str">
        <f>IF(A735&lt;&gt;"",_xlfn.MAXIFS($B$1:B734,$A$1:A734,A735)+1,"")</f>
        <v/>
      </c>
      <c r="C735" s="50"/>
      <c r="D735" s="50"/>
      <c r="E735" s="50"/>
      <c r="F735" s="50"/>
      <c r="G735" s="280"/>
      <c r="H735" s="293"/>
      <c r="I735" s="292"/>
      <c r="J735" s="292"/>
      <c r="K735" s="200"/>
      <c r="L735" s="200"/>
      <c r="M735" s="89" t="str">
        <f>IFERROR(VLOOKUP(H735,Lijsten!$H$1:$I$100,2,0),"")</f>
        <v/>
      </c>
      <c r="N735" s="89" t="str" cm="1">
        <f t="array" ref="N735">IFERROR(_xlfn.IFS(AND(LEFT(F735,6)="Arbeid",RIGHT(F735,3)&lt;&gt;"IKS"),IFERROR(VLOOKUP($G735,Tb_KostenTypen[],2,0),"tarief"),RIGHT(F735,3)="IKS","Uurtarief",LEFT(F735,6)="Arbeid","Uurtarief",AND(LEFT(F735,8)="Bijdrage",RIGHT(F735,15)="(vrijwilligers)"),"Vast tarief"),"")</f>
        <v/>
      </c>
      <c r="O735" s="90"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0"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1"/>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59"/>
      <c r="Z735" s="49"/>
      <c r="AA735" s="37" t="str" cm="1">
        <f t="array" ref="AA735">IFERROR(IF(INDEX(SubsidieTabel!$Q$1:$T$9,MATCH($F735,SubsidieTabel!$Q$1:$Q$9,0),IFERROR(MATCH(Methode_Keuze,SubsidieTabel!$Q$1:$T$1,0),2))&lt;&gt;1=TRUE,"ja",""),"")</f>
        <v/>
      </c>
    </row>
    <row r="736" spans="1:27" ht="15" customHeight="1" x14ac:dyDescent="0.25">
      <c r="A736" s="85"/>
      <c r="B736" s="217" t="str">
        <f>IF(A736&lt;&gt;"",_xlfn.MAXIFS($B$1:B735,$A$1:A735,A736)+1,"")</f>
        <v/>
      </c>
      <c r="C736" s="50"/>
      <c r="D736" s="50"/>
      <c r="E736" s="50"/>
      <c r="F736" s="50"/>
      <c r="G736" s="280"/>
      <c r="H736" s="293"/>
      <c r="I736" s="292"/>
      <c r="J736" s="292"/>
      <c r="K736" s="200"/>
      <c r="L736" s="200"/>
      <c r="M736" s="89" t="str">
        <f>IFERROR(VLOOKUP(H736,Lijsten!$H$1:$I$100,2,0),"")</f>
        <v/>
      </c>
      <c r="N736" s="89" t="str" cm="1">
        <f t="array" ref="N736">IFERROR(_xlfn.IFS(AND(LEFT(F736,6)="Arbeid",RIGHT(F736,3)&lt;&gt;"IKS"),IFERROR(VLOOKUP($G736,Tb_KostenTypen[],2,0),"tarief"),RIGHT(F736,3)="IKS","Uurtarief",LEFT(F736,6)="Arbeid","Uurtarief",AND(LEFT(F736,8)="Bijdrage",RIGHT(F736,15)="(vrijwilligers)"),"Vast tarief"),"")</f>
        <v/>
      </c>
      <c r="O736" s="90"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0"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1"/>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59"/>
      <c r="Z736" s="49"/>
      <c r="AA736" s="37" t="str" cm="1">
        <f t="array" ref="AA736">IFERROR(IF(INDEX(SubsidieTabel!$Q$1:$T$9,MATCH($F736,SubsidieTabel!$Q$1:$Q$9,0),IFERROR(MATCH(Methode_Keuze,SubsidieTabel!$Q$1:$T$1,0),2))&lt;&gt;1=TRUE,"ja",""),"")</f>
        <v/>
      </c>
    </row>
    <row r="737" spans="1:27" ht="15" customHeight="1" x14ac:dyDescent="0.25">
      <c r="A737" s="85"/>
      <c r="B737" s="217" t="str">
        <f>IF(A737&lt;&gt;"",_xlfn.MAXIFS($B$1:B736,$A$1:A736,A737)+1,"")</f>
        <v/>
      </c>
      <c r="C737" s="50"/>
      <c r="D737" s="50"/>
      <c r="E737" s="50"/>
      <c r="F737" s="50"/>
      <c r="G737" s="280"/>
      <c r="H737" s="293"/>
      <c r="I737" s="292"/>
      <c r="J737" s="292"/>
      <c r="K737" s="200"/>
      <c r="L737" s="200"/>
      <c r="M737" s="89" t="str">
        <f>IFERROR(VLOOKUP(H737,Lijsten!$H$1:$I$100,2,0),"")</f>
        <v/>
      </c>
      <c r="N737" s="89" t="str" cm="1">
        <f t="array" ref="N737">IFERROR(_xlfn.IFS(AND(LEFT(F737,6)="Arbeid",RIGHT(F737,3)&lt;&gt;"IKS"),IFERROR(VLOOKUP($G737,Tb_KostenTypen[],2,0),"tarief"),RIGHT(F737,3)="IKS","Uurtarief",LEFT(F737,6)="Arbeid","Uurtarief",AND(LEFT(F737,8)="Bijdrage",RIGHT(F737,15)="(vrijwilligers)"),"Vast tarief"),"")</f>
        <v/>
      </c>
      <c r="O737" s="90"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0"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1"/>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59"/>
      <c r="Z737" s="49"/>
      <c r="AA737" s="37" t="str" cm="1">
        <f t="array" ref="AA737">IFERROR(IF(INDEX(SubsidieTabel!$Q$1:$T$9,MATCH($F737,SubsidieTabel!$Q$1:$Q$9,0),IFERROR(MATCH(Methode_Keuze,SubsidieTabel!$Q$1:$T$1,0),2))&lt;&gt;1=TRUE,"ja",""),"")</f>
        <v/>
      </c>
    </row>
    <row r="738" spans="1:27" ht="15" customHeight="1" x14ac:dyDescent="0.25">
      <c r="A738" s="85"/>
      <c r="B738" s="217" t="str">
        <f>IF(A738&lt;&gt;"",_xlfn.MAXIFS($B$1:B737,$A$1:A737,A738)+1,"")</f>
        <v/>
      </c>
      <c r="C738" s="50"/>
      <c r="D738" s="50"/>
      <c r="E738" s="50"/>
      <c r="F738" s="50"/>
      <c r="G738" s="280"/>
      <c r="H738" s="293"/>
      <c r="I738" s="292"/>
      <c r="J738" s="292"/>
      <c r="K738" s="200"/>
      <c r="L738" s="200"/>
      <c r="M738" s="89" t="str">
        <f>IFERROR(VLOOKUP(H738,Lijsten!$H$1:$I$100,2,0),"")</f>
        <v/>
      </c>
      <c r="N738" s="89" t="str" cm="1">
        <f t="array" ref="N738">IFERROR(_xlfn.IFS(AND(LEFT(F738,6)="Arbeid",RIGHT(F738,3)&lt;&gt;"IKS"),IFERROR(VLOOKUP($G738,Tb_KostenTypen[],2,0),"tarief"),RIGHT(F738,3)="IKS","Uurtarief",LEFT(F738,6)="Arbeid","Uurtarief",AND(LEFT(F738,8)="Bijdrage",RIGHT(F738,15)="(vrijwilligers)"),"Vast tarief"),"")</f>
        <v/>
      </c>
      <c r="O738" s="90"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0"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1"/>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59"/>
      <c r="Z738" s="49"/>
      <c r="AA738" s="37" t="str" cm="1">
        <f t="array" ref="AA738">IFERROR(IF(INDEX(SubsidieTabel!$Q$1:$T$9,MATCH($F738,SubsidieTabel!$Q$1:$Q$9,0),IFERROR(MATCH(Methode_Keuze,SubsidieTabel!$Q$1:$T$1,0),2))&lt;&gt;1=TRUE,"ja",""),"")</f>
        <v/>
      </c>
    </row>
    <row r="739" spans="1:27" ht="15" customHeight="1" x14ac:dyDescent="0.25">
      <c r="A739" s="85"/>
      <c r="B739" s="217" t="str">
        <f>IF(A739&lt;&gt;"",_xlfn.MAXIFS($B$1:B738,$A$1:A738,A739)+1,"")</f>
        <v/>
      </c>
      <c r="C739" s="50"/>
      <c r="D739" s="50"/>
      <c r="E739" s="50"/>
      <c r="F739" s="50"/>
      <c r="G739" s="280"/>
      <c r="H739" s="293"/>
      <c r="I739" s="292"/>
      <c r="J739" s="292"/>
      <c r="K739" s="200"/>
      <c r="L739" s="200"/>
      <c r="M739" s="89" t="str">
        <f>IFERROR(VLOOKUP(H739,Lijsten!$H$1:$I$100,2,0),"")</f>
        <v/>
      </c>
      <c r="N739" s="89" t="str" cm="1">
        <f t="array" ref="N739">IFERROR(_xlfn.IFS(AND(LEFT(F739,6)="Arbeid",RIGHT(F739,3)&lt;&gt;"IKS"),IFERROR(VLOOKUP($G739,Tb_KostenTypen[],2,0),"tarief"),RIGHT(F739,3)="IKS","Uurtarief",LEFT(F739,6)="Arbeid","Uurtarief",AND(LEFT(F739,8)="Bijdrage",RIGHT(F739,15)="(vrijwilligers)"),"Vast tarief"),"")</f>
        <v/>
      </c>
      <c r="O739" s="90"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0"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1"/>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59"/>
      <c r="Z739" s="49"/>
      <c r="AA739" s="37" t="str" cm="1">
        <f t="array" ref="AA739">IFERROR(IF(INDEX(SubsidieTabel!$Q$1:$T$9,MATCH($F739,SubsidieTabel!$Q$1:$Q$9,0),IFERROR(MATCH(Methode_Keuze,SubsidieTabel!$Q$1:$T$1,0),2))&lt;&gt;1=TRUE,"ja",""),"")</f>
        <v/>
      </c>
    </row>
    <row r="740" spans="1:27" ht="15" customHeight="1" x14ac:dyDescent="0.25">
      <c r="A740" s="85"/>
      <c r="B740" s="217" t="str">
        <f>IF(A740&lt;&gt;"",_xlfn.MAXIFS($B$1:B739,$A$1:A739,A740)+1,"")</f>
        <v/>
      </c>
      <c r="C740" s="50"/>
      <c r="D740" s="50"/>
      <c r="E740" s="50"/>
      <c r="F740" s="50"/>
      <c r="G740" s="280"/>
      <c r="H740" s="293"/>
      <c r="I740" s="292"/>
      <c r="J740" s="292"/>
      <c r="K740" s="200"/>
      <c r="L740" s="200"/>
      <c r="M740" s="89" t="str">
        <f>IFERROR(VLOOKUP(H740,Lijsten!$H$1:$I$100,2,0),"")</f>
        <v/>
      </c>
      <c r="N740" s="89" t="str" cm="1">
        <f t="array" ref="N740">IFERROR(_xlfn.IFS(AND(LEFT(F740,6)="Arbeid",RIGHT(F740,3)&lt;&gt;"IKS"),IFERROR(VLOOKUP($G740,Tb_KostenTypen[],2,0),"tarief"),RIGHT(F740,3)="IKS","Uurtarief",LEFT(F740,6)="Arbeid","Uurtarief",AND(LEFT(F740,8)="Bijdrage",RIGHT(F740,15)="(vrijwilligers)"),"Vast tarief"),"")</f>
        <v/>
      </c>
      <c r="O740" s="90"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0"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1"/>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59"/>
      <c r="Z740" s="49"/>
      <c r="AA740" s="37" t="str" cm="1">
        <f t="array" ref="AA740">IFERROR(IF(INDEX(SubsidieTabel!$Q$1:$T$9,MATCH($F740,SubsidieTabel!$Q$1:$Q$9,0),IFERROR(MATCH(Methode_Keuze,SubsidieTabel!$Q$1:$T$1,0),2))&lt;&gt;1=TRUE,"ja",""),"")</f>
        <v/>
      </c>
    </row>
    <row r="741" spans="1:27" ht="15" customHeight="1" x14ac:dyDescent="0.25">
      <c r="A741" s="85"/>
      <c r="B741" s="217" t="str">
        <f>IF(A741&lt;&gt;"",_xlfn.MAXIFS($B$1:B740,$A$1:A740,A741)+1,"")</f>
        <v/>
      </c>
      <c r="C741" s="50"/>
      <c r="D741" s="50"/>
      <c r="E741" s="50"/>
      <c r="F741" s="50"/>
      <c r="G741" s="280"/>
      <c r="H741" s="293"/>
      <c r="I741" s="292"/>
      <c r="J741" s="292"/>
      <c r="K741" s="200"/>
      <c r="L741" s="200"/>
      <c r="M741" s="89" t="str">
        <f>IFERROR(VLOOKUP(H741,Lijsten!$H$1:$I$100,2,0),"")</f>
        <v/>
      </c>
      <c r="N741" s="89" t="str" cm="1">
        <f t="array" ref="N741">IFERROR(_xlfn.IFS(AND(LEFT(F741,6)="Arbeid",RIGHT(F741,3)&lt;&gt;"IKS"),IFERROR(VLOOKUP($G741,Tb_KostenTypen[],2,0),"tarief"),RIGHT(F741,3)="IKS","Uurtarief",LEFT(F741,6)="Arbeid","Uurtarief",AND(LEFT(F741,8)="Bijdrage",RIGHT(F741,15)="(vrijwilligers)"),"Vast tarief"),"")</f>
        <v/>
      </c>
      <c r="O741" s="90"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0"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1"/>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59"/>
      <c r="Z741" s="49"/>
      <c r="AA741" s="37" t="str" cm="1">
        <f t="array" ref="AA741">IFERROR(IF(INDEX(SubsidieTabel!$Q$1:$T$9,MATCH($F741,SubsidieTabel!$Q$1:$Q$9,0),IFERROR(MATCH(Methode_Keuze,SubsidieTabel!$Q$1:$T$1,0),2))&lt;&gt;1=TRUE,"ja",""),"")</f>
        <v/>
      </c>
    </row>
    <row r="742" spans="1:27" ht="15" customHeight="1" x14ac:dyDescent="0.25">
      <c r="A742" s="85"/>
      <c r="B742" s="217" t="str">
        <f>IF(A742&lt;&gt;"",_xlfn.MAXIFS($B$1:B741,$A$1:A741,A742)+1,"")</f>
        <v/>
      </c>
      <c r="C742" s="50"/>
      <c r="D742" s="50"/>
      <c r="E742" s="50"/>
      <c r="F742" s="50"/>
      <c r="G742" s="280"/>
      <c r="H742" s="293"/>
      <c r="I742" s="292"/>
      <c r="J742" s="292"/>
      <c r="K742" s="200"/>
      <c r="L742" s="200"/>
      <c r="M742" s="89" t="str">
        <f>IFERROR(VLOOKUP(H742,Lijsten!$H$1:$I$100,2,0),"")</f>
        <v/>
      </c>
      <c r="N742" s="89" t="str" cm="1">
        <f t="array" ref="N742">IFERROR(_xlfn.IFS(AND(LEFT(F742,6)="Arbeid",RIGHT(F742,3)&lt;&gt;"IKS"),IFERROR(VLOOKUP($G742,Tb_KostenTypen[],2,0),"tarief"),RIGHT(F742,3)="IKS","Uurtarief",LEFT(F742,6)="Arbeid","Uurtarief",AND(LEFT(F742,8)="Bijdrage",RIGHT(F742,15)="(vrijwilligers)"),"Vast tarief"),"")</f>
        <v/>
      </c>
      <c r="O742" s="90"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0"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1"/>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59"/>
      <c r="Z742" s="49"/>
      <c r="AA742" s="37" t="str" cm="1">
        <f t="array" ref="AA742">IFERROR(IF(INDEX(SubsidieTabel!$Q$1:$T$9,MATCH($F742,SubsidieTabel!$Q$1:$Q$9,0),IFERROR(MATCH(Methode_Keuze,SubsidieTabel!$Q$1:$T$1,0),2))&lt;&gt;1=TRUE,"ja",""),"")</f>
        <v/>
      </c>
    </row>
    <row r="743" spans="1:27" ht="15" customHeight="1" x14ac:dyDescent="0.25">
      <c r="A743" s="85"/>
      <c r="B743" s="217" t="str">
        <f>IF(A743&lt;&gt;"",_xlfn.MAXIFS($B$1:B742,$A$1:A742,A743)+1,"")</f>
        <v/>
      </c>
      <c r="C743" s="50"/>
      <c r="D743" s="50"/>
      <c r="E743" s="50"/>
      <c r="F743" s="50"/>
      <c r="G743" s="280"/>
      <c r="H743" s="293"/>
      <c r="I743" s="292"/>
      <c r="J743" s="292"/>
      <c r="K743" s="200"/>
      <c r="L743" s="200"/>
      <c r="M743" s="89" t="str">
        <f>IFERROR(VLOOKUP(H743,Lijsten!$H$1:$I$100,2,0),"")</f>
        <v/>
      </c>
      <c r="N743" s="89" t="str" cm="1">
        <f t="array" ref="N743">IFERROR(_xlfn.IFS(AND(LEFT(F743,6)="Arbeid",RIGHT(F743,3)&lt;&gt;"IKS"),IFERROR(VLOOKUP($G743,Tb_KostenTypen[],2,0),"tarief"),RIGHT(F743,3)="IKS","Uurtarief",LEFT(F743,6)="Arbeid","Uurtarief",AND(LEFT(F743,8)="Bijdrage",RIGHT(F743,15)="(vrijwilligers)"),"Vast tarief"),"")</f>
        <v/>
      </c>
      <c r="O743" s="90"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0"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1"/>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59"/>
      <c r="Z743" s="49"/>
      <c r="AA743" s="37" t="str" cm="1">
        <f t="array" ref="AA743">IFERROR(IF(INDEX(SubsidieTabel!$Q$1:$T$9,MATCH($F743,SubsidieTabel!$Q$1:$Q$9,0),IFERROR(MATCH(Methode_Keuze,SubsidieTabel!$Q$1:$T$1,0),2))&lt;&gt;1=TRUE,"ja",""),"")</f>
        <v/>
      </c>
    </row>
    <row r="744" spans="1:27" ht="15" customHeight="1" x14ac:dyDescent="0.25">
      <c r="A744" s="85"/>
      <c r="B744" s="217" t="str">
        <f>IF(A744&lt;&gt;"",_xlfn.MAXIFS($B$1:B743,$A$1:A743,A744)+1,"")</f>
        <v/>
      </c>
      <c r="C744" s="50"/>
      <c r="D744" s="50"/>
      <c r="E744" s="50"/>
      <c r="F744" s="50"/>
      <c r="G744" s="280"/>
      <c r="H744" s="293"/>
      <c r="I744" s="292"/>
      <c r="J744" s="292"/>
      <c r="K744" s="200"/>
      <c r="L744" s="200"/>
      <c r="M744" s="89" t="str">
        <f>IFERROR(VLOOKUP(H744,Lijsten!$H$1:$I$100,2,0),"")</f>
        <v/>
      </c>
      <c r="N744" s="89" t="str" cm="1">
        <f t="array" ref="N744">IFERROR(_xlfn.IFS(AND(LEFT(F744,6)="Arbeid",RIGHT(F744,3)&lt;&gt;"IKS"),IFERROR(VLOOKUP($G744,Tb_KostenTypen[],2,0),"tarief"),RIGHT(F744,3)="IKS","Uurtarief",LEFT(F744,6)="Arbeid","Uurtarief",AND(LEFT(F744,8)="Bijdrage",RIGHT(F744,15)="(vrijwilligers)"),"Vast tarief"),"")</f>
        <v/>
      </c>
      <c r="O744" s="90"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0"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1"/>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59"/>
      <c r="Z744" s="49"/>
      <c r="AA744" s="37" t="str" cm="1">
        <f t="array" ref="AA744">IFERROR(IF(INDEX(SubsidieTabel!$Q$1:$T$9,MATCH($F744,SubsidieTabel!$Q$1:$Q$9,0),IFERROR(MATCH(Methode_Keuze,SubsidieTabel!$Q$1:$T$1,0),2))&lt;&gt;1=TRUE,"ja",""),"")</f>
        <v/>
      </c>
    </row>
    <row r="745" spans="1:27" ht="15" customHeight="1" x14ac:dyDescent="0.25">
      <c r="A745" s="85"/>
      <c r="B745" s="217" t="str">
        <f>IF(A745&lt;&gt;"",_xlfn.MAXIFS($B$1:B744,$A$1:A744,A745)+1,"")</f>
        <v/>
      </c>
      <c r="C745" s="50"/>
      <c r="D745" s="50"/>
      <c r="E745" s="50"/>
      <c r="F745" s="50"/>
      <c r="G745" s="280"/>
      <c r="H745" s="293"/>
      <c r="I745" s="292"/>
      <c r="J745" s="292"/>
      <c r="K745" s="200"/>
      <c r="L745" s="200"/>
      <c r="M745" s="89" t="str">
        <f>IFERROR(VLOOKUP(H745,Lijsten!$H$1:$I$100,2,0),"")</f>
        <v/>
      </c>
      <c r="N745" s="89" t="str" cm="1">
        <f t="array" ref="N745">IFERROR(_xlfn.IFS(AND(LEFT(F745,6)="Arbeid",RIGHT(F745,3)&lt;&gt;"IKS"),IFERROR(VLOOKUP($G745,Tb_KostenTypen[],2,0),"tarief"),RIGHT(F745,3)="IKS","Uurtarief",LEFT(F745,6)="Arbeid","Uurtarief",AND(LEFT(F745,8)="Bijdrage",RIGHT(F745,15)="(vrijwilligers)"),"Vast tarief"),"")</f>
        <v/>
      </c>
      <c r="O745" s="90"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0"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1"/>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59"/>
      <c r="Z745" s="49"/>
      <c r="AA745" s="37" t="str" cm="1">
        <f t="array" ref="AA745">IFERROR(IF(INDEX(SubsidieTabel!$Q$1:$T$9,MATCH($F745,SubsidieTabel!$Q$1:$Q$9,0),IFERROR(MATCH(Methode_Keuze,SubsidieTabel!$Q$1:$T$1,0),2))&lt;&gt;1=TRUE,"ja",""),"")</f>
        <v/>
      </c>
    </row>
    <row r="746" spans="1:27" ht="15" customHeight="1" x14ac:dyDescent="0.25">
      <c r="A746" s="85"/>
      <c r="B746" s="217" t="str">
        <f>IF(A746&lt;&gt;"",_xlfn.MAXIFS($B$1:B745,$A$1:A745,A746)+1,"")</f>
        <v/>
      </c>
      <c r="C746" s="50"/>
      <c r="D746" s="50"/>
      <c r="E746" s="50"/>
      <c r="F746" s="50"/>
      <c r="G746" s="280"/>
      <c r="H746" s="293"/>
      <c r="I746" s="292"/>
      <c r="J746" s="292"/>
      <c r="K746" s="200"/>
      <c r="L746" s="200"/>
      <c r="M746" s="89" t="str">
        <f>IFERROR(VLOOKUP(H746,Lijsten!$H$1:$I$100,2,0),"")</f>
        <v/>
      </c>
      <c r="N746" s="89" t="str" cm="1">
        <f t="array" ref="N746">IFERROR(_xlfn.IFS(AND(LEFT(F746,6)="Arbeid",RIGHT(F746,3)&lt;&gt;"IKS"),IFERROR(VLOOKUP($G746,Tb_KostenTypen[],2,0),"tarief"),RIGHT(F746,3)="IKS","Uurtarief",LEFT(F746,6)="Arbeid","Uurtarief",AND(LEFT(F746,8)="Bijdrage",RIGHT(F746,15)="(vrijwilligers)"),"Vast tarief"),"")</f>
        <v/>
      </c>
      <c r="O746" s="90"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0"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1"/>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59"/>
      <c r="Z746" s="49"/>
      <c r="AA746" s="37" t="str" cm="1">
        <f t="array" ref="AA746">IFERROR(IF(INDEX(SubsidieTabel!$Q$1:$T$9,MATCH($F746,SubsidieTabel!$Q$1:$Q$9,0),IFERROR(MATCH(Methode_Keuze,SubsidieTabel!$Q$1:$T$1,0),2))&lt;&gt;1=TRUE,"ja",""),"")</f>
        <v/>
      </c>
    </row>
    <row r="747" spans="1:27" ht="15" customHeight="1" x14ac:dyDescent="0.25">
      <c r="A747" s="85"/>
      <c r="B747" s="217" t="str">
        <f>IF(A747&lt;&gt;"",_xlfn.MAXIFS($B$1:B746,$A$1:A746,A747)+1,"")</f>
        <v/>
      </c>
      <c r="C747" s="50"/>
      <c r="D747" s="50"/>
      <c r="E747" s="50"/>
      <c r="F747" s="50"/>
      <c r="G747" s="280"/>
      <c r="H747" s="293"/>
      <c r="I747" s="292"/>
      <c r="J747" s="292"/>
      <c r="K747" s="200"/>
      <c r="L747" s="200"/>
      <c r="M747" s="89" t="str">
        <f>IFERROR(VLOOKUP(H747,Lijsten!$H$1:$I$100,2,0),"")</f>
        <v/>
      </c>
      <c r="N747" s="89" t="str" cm="1">
        <f t="array" ref="N747">IFERROR(_xlfn.IFS(AND(LEFT(F747,6)="Arbeid",RIGHT(F747,3)&lt;&gt;"IKS"),IFERROR(VLOOKUP($G747,Tb_KostenTypen[],2,0),"tarief"),RIGHT(F747,3)="IKS","Uurtarief",LEFT(F747,6)="Arbeid","Uurtarief",AND(LEFT(F747,8)="Bijdrage",RIGHT(F747,15)="(vrijwilligers)"),"Vast tarief"),"")</f>
        <v/>
      </c>
      <c r="O747" s="90"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0"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1"/>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59"/>
      <c r="Z747" s="49"/>
      <c r="AA747" s="37" t="str" cm="1">
        <f t="array" ref="AA747">IFERROR(IF(INDEX(SubsidieTabel!$Q$1:$T$9,MATCH($F747,SubsidieTabel!$Q$1:$Q$9,0),IFERROR(MATCH(Methode_Keuze,SubsidieTabel!$Q$1:$T$1,0),2))&lt;&gt;1=TRUE,"ja",""),"")</f>
        <v/>
      </c>
    </row>
    <row r="748" spans="1:27" ht="15" customHeight="1" x14ac:dyDescent="0.25">
      <c r="A748" s="85"/>
      <c r="B748" s="217" t="str">
        <f>IF(A748&lt;&gt;"",_xlfn.MAXIFS($B$1:B747,$A$1:A747,A748)+1,"")</f>
        <v/>
      </c>
      <c r="C748" s="50"/>
      <c r="D748" s="50"/>
      <c r="E748" s="50"/>
      <c r="F748" s="50"/>
      <c r="G748" s="280"/>
      <c r="H748" s="293"/>
      <c r="I748" s="292"/>
      <c r="J748" s="292"/>
      <c r="K748" s="200"/>
      <c r="L748" s="200"/>
      <c r="M748" s="89" t="str">
        <f>IFERROR(VLOOKUP(H748,Lijsten!$H$1:$I$100,2,0),"")</f>
        <v/>
      </c>
      <c r="N748" s="89" t="str" cm="1">
        <f t="array" ref="N748">IFERROR(_xlfn.IFS(AND(LEFT(F748,6)="Arbeid",RIGHT(F748,3)&lt;&gt;"IKS"),IFERROR(VLOOKUP($G748,Tb_KostenTypen[],2,0),"tarief"),RIGHT(F748,3)="IKS","Uurtarief",LEFT(F748,6)="Arbeid","Uurtarief",AND(LEFT(F748,8)="Bijdrage",RIGHT(F748,15)="(vrijwilligers)"),"Vast tarief"),"")</f>
        <v/>
      </c>
      <c r="O748" s="90"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0"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1"/>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59"/>
      <c r="Z748" s="49"/>
      <c r="AA748" s="37" t="str" cm="1">
        <f t="array" ref="AA748">IFERROR(IF(INDEX(SubsidieTabel!$Q$1:$T$9,MATCH($F748,SubsidieTabel!$Q$1:$Q$9,0),IFERROR(MATCH(Methode_Keuze,SubsidieTabel!$Q$1:$T$1,0),2))&lt;&gt;1=TRUE,"ja",""),"")</f>
        <v/>
      </c>
    </row>
    <row r="749" spans="1:27" ht="15" customHeight="1" x14ac:dyDescent="0.25">
      <c r="A749" s="85"/>
      <c r="B749" s="217" t="str">
        <f>IF(A749&lt;&gt;"",_xlfn.MAXIFS($B$1:B748,$A$1:A748,A749)+1,"")</f>
        <v/>
      </c>
      <c r="C749" s="50"/>
      <c r="D749" s="50"/>
      <c r="E749" s="50"/>
      <c r="F749" s="50"/>
      <c r="G749" s="280"/>
      <c r="H749" s="293"/>
      <c r="I749" s="292"/>
      <c r="J749" s="292"/>
      <c r="K749" s="200"/>
      <c r="L749" s="200"/>
      <c r="M749" s="89" t="str">
        <f>IFERROR(VLOOKUP(H749,Lijsten!$H$1:$I$100,2,0),"")</f>
        <v/>
      </c>
      <c r="N749" s="89" t="str" cm="1">
        <f t="array" ref="N749">IFERROR(_xlfn.IFS(AND(LEFT(F749,6)="Arbeid",RIGHT(F749,3)&lt;&gt;"IKS"),IFERROR(VLOOKUP($G749,Tb_KostenTypen[],2,0),"tarief"),RIGHT(F749,3)="IKS","Uurtarief",LEFT(F749,6)="Arbeid","Uurtarief",AND(LEFT(F749,8)="Bijdrage",RIGHT(F749,15)="(vrijwilligers)"),"Vast tarief"),"")</f>
        <v/>
      </c>
      <c r="O749" s="90"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0"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1"/>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59"/>
      <c r="Z749" s="49"/>
      <c r="AA749" s="37" t="str" cm="1">
        <f t="array" ref="AA749">IFERROR(IF(INDEX(SubsidieTabel!$Q$1:$T$9,MATCH($F749,SubsidieTabel!$Q$1:$Q$9,0),IFERROR(MATCH(Methode_Keuze,SubsidieTabel!$Q$1:$T$1,0),2))&lt;&gt;1=TRUE,"ja",""),"")</f>
        <v/>
      </c>
    </row>
    <row r="750" spans="1:27" ht="15" customHeight="1" x14ac:dyDescent="0.25">
      <c r="A750" s="85"/>
      <c r="B750" s="217" t="str">
        <f>IF(A750&lt;&gt;"",_xlfn.MAXIFS($B$1:B749,$A$1:A749,A750)+1,"")</f>
        <v/>
      </c>
      <c r="C750" s="50"/>
      <c r="D750" s="50"/>
      <c r="E750" s="50"/>
      <c r="F750" s="50"/>
      <c r="G750" s="280"/>
      <c r="H750" s="293"/>
      <c r="I750" s="292"/>
      <c r="J750" s="292"/>
      <c r="K750" s="200"/>
      <c r="L750" s="200"/>
      <c r="M750" s="89" t="str">
        <f>IFERROR(VLOOKUP(H750,Lijsten!$H$1:$I$100,2,0),"")</f>
        <v/>
      </c>
      <c r="N750" s="89" t="str" cm="1">
        <f t="array" ref="N750">IFERROR(_xlfn.IFS(AND(LEFT(F750,6)="Arbeid",RIGHT(F750,3)&lt;&gt;"IKS"),IFERROR(VLOOKUP($G750,Tb_KostenTypen[],2,0),"tarief"),RIGHT(F750,3)="IKS","Uurtarief",LEFT(F750,6)="Arbeid","Uurtarief",AND(LEFT(F750,8)="Bijdrage",RIGHT(F750,15)="(vrijwilligers)"),"Vast tarief"),"")</f>
        <v/>
      </c>
      <c r="O750" s="90"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0"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1"/>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59"/>
      <c r="Z750" s="49"/>
      <c r="AA750" s="37" t="str" cm="1">
        <f t="array" ref="AA750">IFERROR(IF(INDEX(SubsidieTabel!$Q$1:$T$9,MATCH($F750,SubsidieTabel!$Q$1:$Q$9,0),IFERROR(MATCH(Methode_Keuze,SubsidieTabel!$Q$1:$T$1,0),2))&lt;&gt;1=TRUE,"ja",""),"")</f>
        <v/>
      </c>
    </row>
    <row r="751" spans="1:27" ht="15" customHeight="1" x14ac:dyDescent="0.25">
      <c r="A751" s="85"/>
      <c r="B751" s="217" t="str">
        <f>IF(A751&lt;&gt;"",_xlfn.MAXIFS($B$1:B750,$A$1:A750,A751)+1,"")</f>
        <v/>
      </c>
      <c r="C751" s="50"/>
      <c r="D751" s="50"/>
      <c r="E751" s="50"/>
      <c r="F751" s="50"/>
      <c r="G751" s="280"/>
      <c r="H751" s="293"/>
      <c r="I751" s="292"/>
      <c r="J751" s="292"/>
      <c r="K751" s="200"/>
      <c r="L751" s="200"/>
      <c r="M751" s="89" t="str">
        <f>IFERROR(VLOOKUP(H751,Lijsten!$H$1:$I$100,2,0),"")</f>
        <v/>
      </c>
      <c r="N751" s="89" t="str" cm="1">
        <f t="array" ref="N751">IFERROR(_xlfn.IFS(AND(LEFT(F751,6)="Arbeid",RIGHT(F751,3)&lt;&gt;"IKS"),IFERROR(VLOOKUP($G751,Tb_KostenTypen[],2,0),"tarief"),RIGHT(F751,3)="IKS","Uurtarief",LEFT(F751,6)="Arbeid","Uurtarief",AND(LEFT(F751,8)="Bijdrage",RIGHT(F751,15)="(vrijwilligers)"),"Vast tarief"),"")</f>
        <v/>
      </c>
      <c r="O751" s="90"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0"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1"/>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59"/>
      <c r="Z751" s="49"/>
      <c r="AA751" s="37" t="str" cm="1">
        <f t="array" ref="AA751">IFERROR(IF(INDEX(SubsidieTabel!$Q$1:$T$9,MATCH($F751,SubsidieTabel!$Q$1:$Q$9,0),IFERROR(MATCH(Methode_Keuze,SubsidieTabel!$Q$1:$T$1,0),2))&lt;&gt;1=TRUE,"ja",""),"")</f>
        <v/>
      </c>
    </row>
    <row r="752" spans="1:27" ht="15" customHeight="1" x14ac:dyDescent="0.25">
      <c r="A752" s="85"/>
      <c r="B752" s="217" t="str">
        <f>IF(A752&lt;&gt;"",_xlfn.MAXIFS($B$1:B751,$A$1:A751,A752)+1,"")</f>
        <v/>
      </c>
      <c r="C752" s="50"/>
      <c r="D752" s="50"/>
      <c r="E752" s="50"/>
      <c r="F752" s="50"/>
      <c r="G752" s="280"/>
      <c r="H752" s="293"/>
      <c r="I752" s="292"/>
      <c r="J752" s="292"/>
      <c r="K752" s="200"/>
      <c r="L752" s="200"/>
      <c r="M752" s="89" t="str">
        <f>IFERROR(VLOOKUP(H752,Lijsten!$H$1:$I$100,2,0),"")</f>
        <v/>
      </c>
      <c r="N752" s="89" t="str" cm="1">
        <f t="array" ref="N752">IFERROR(_xlfn.IFS(AND(LEFT(F752,6)="Arbeid",RIGHT(F752,3)&lt;&gt;"IKS"),IFERROR(VLOOKUP($G752,Tb_KostenTypen[],2,0),"tarief"),RIGHT(F752,3)="IKS","Uurtarief",LEFT(F752,6)="Arbeid","Uurtarief",AND(LEFT(F752,8)="Bijdrage",RIGHT(F752,15)="(vrijwilligers)"),"Vast tarief"),"")</f>
        <v/>
      </c>
      <c r="O752" s="90"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0"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1"/>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59"/>
      <c r="Z752" s="49"/>
      <c r="AA752" s="37" t="str" cm="1">
        <f t="array" ref="AA752">IFERROR(IF(INDEX(SubsidieTabel!$Q$1:$T$9,MATCH($F752,SubsidieTabel!$Q$1:$Q$9,0),IFERROR(MATCH(Methode_Keuze,SubsidieTabel!$Q$1:$T$1,0),2))&lt;&gt;1=TRUE,"ja",""),"")</f>
        <v/>
      </c>
    </row>
    <row r="753" spans="1:27" ht="15" customHeight="1" x14ac:dyDescent="0.25">
      <c r="A753" s="85"/>
      <c r="B753" s="217" t="str">
        <f>IF(A753&lt;&gt;"",_xlfn.MAXIFS($B$1:B752,$A$1:A752,A753)+1,"")</f>
        <v/>
      </c>
      <c r="C753" s="50"/>
      <c r="D753" s="50"/>
      <c r="E753" s="50"/>
      <c r="F753" s="50"/>
      <c r="G753" s="280"/>
      <c r="H753" s="293"/>
      <c r="I753" s="292"/>
      <c r="J753" s="292"/>
      <c r="K753" s="200"/>
      <c r="L753" s="200"/>
      <c r="M753" s="89" t="str">
        <f>IFERROR(VLOOKUP(H753,Lijsten!$H$1:$I$100,2,0),"")</f>
        <v/>
      </c>
      <c r="N753" s="89" t="str" cm="1">
        <f t="array" ref="N753">IFERROR(_xlfn.IFS(AND(LEFT(F753,6)="Arbeid",RIGHT(F753,3)&lt;&gt;"IKS"),IFERROR(VLOOKUP($G753,Tb_KostenTypen[],2,0),"tarief"),RIGHT(F753,3)="IKS","Uurtarief",LEFT(F753,6)="Arbeid","Uurtarief",AND(LEFT(F753,8)="Bijdrage",RIGHT(F753,15)="(vrijwilligers)"),"Vast tarief"),"")</f>
        <v/>
      </c>
      <c r="O753" s="90"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0"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1"/>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59"/>
      <c r="Z753" s="49"/>
      <c r="AA753" s="37" t="str" cm="1">
        <f t="array" ref="AA753">IFERROR(IF(INDEX(SubsidieTabel!$Q$1:$T$9,MATCH($F753,SubsidieTabel!$Q$1:$Q$9,0),IFERROR(MATCH(Methode_Keuze,SubsidieTabel!$Q$1:$T$1,0),2))&lt;&gt;1=TRUE,"ja",""),"")</f>
        <v/>
      </c>
    </row>
    <row r="754" spans="1:27" ht="15" customHeight="1" x14ac:dyDescent="0.25">
      <c r="A754" s="85"/>
      <c r="B754" s="217" t="str">
        <f>IF(A754&lt;&gt;"",_xlfn.MAXIFS($B$1:B753,$A$1:A753,A754)+1,"")</f>
        <v/>
      </c>
      <c r="C754" s="50"/>
      <c r="D754" s="50"/>
      <c r="E754" s="50"/>
      <c r="F754" s="50"/>
      <c r="G754" s="280"/>
      <c r="H754" s="293"/>
      <c r="I754" s="292"/>
      <c r="J754" s="292"/>
      <c r="K754" s="200"/>
      <c r="L754" s="200"/>
      <c r="M754" s="89" t="str">
        <f>IFERROR(VLOOKUP(H754,Lijsten!$H$1:$I$100,2,0),"")</f>
        <v/>
      </c>
      <c r="N754" s="89" t="str" cm="1">
        <f t="array" ref="N754">IFERROR(_xlfn.IFS(AND(LEFT(F754,6)="Arbeid",RIGHT(F754,3)&lt;&gt;"IKS"),IFERROR(VLOOKUP($G754,Tb_KostenTypen[],2,0),"tarief"),RIGHT(F754,3)="IKS","Uurtarief",LEFT(F754,6)="Arbeid","Uurtarief",AND(LEFT(F754,8)="Bijdrage",RIGHT(F754,15)="(vrijwilligers)"),"Vast tarief"),"")</f>
        <v/>
      </c>
      <c r="O754" s="90"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0"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1"/>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59"/>
      <c r="Z754" s="49"/>
      <c r="AA754" s="37" t="str" cm="1">
        <f t="array" ref="AA754">IFERROR(IF(INDEX(SubsidieTabel!$Q$1:$T$9,MATCH($F754,SubsidieTabel!$Q$1:$Q$9,0),IFERROR(MATCH(Methode_Keuze,SubsidieTabel!$Q$1:$T$1,0),2))&lt;&gt;1=TRUE,"ja",""),"")</f>
        <v/>
      </c>
    </row>
    <row r="755" spans="1:27" ht="15" customHeight="1" x14ac:dyDescent="0.25">
      <c r="A755" s="85"/>
      <c r="B755" s="217" t="str">
        <f>IF(A755&lt;&gt;"",_xlfn.MAXIFS($B$1:B754,$A$1:A754,A755)+1,"")</f>
        <v/>
      </c>
      <c r="C755" s="50"/>
      <c r="D755" s="50"/>
      <c r="E755" s="50"/>
      <c r="F755" s="50"/>
      <c r="G755" s="280"/>
      <c r="H755" s="293"/>
      <c r="I755" s="292"/>
      <c r="J755" s="292"/>
      <c r="K755" s="200"/>
      <c r="L755" s="200"/>
      <c r="M755" s="89" t="str">
        <f>IFERROR(VLOOKUP(H755,Lijsten!$H$1:$I$100,2,0),"")</f>
        <v/>
      </c>
      <c r="N755" s="89" t="str" cm="1">
        <f t="array" ref="N755">IFERROR(_xlfn.IFS(AND(LEFT(F755,6)="Arbeid",RIGHT(F755,3)&lt;&gt;"IKS"),IFERROR(VLOOKUP($G755,Tb_KostenTypen[],2,0),"tarief"),RIGHT(F755,3)="IKS","Uurtarief",LEFT(F755,6)="Arbeid","Uurtarief",AND(LEFT(F755,8)="Bijdrage",RIGHT(F755,15)="(vrijwilligers)"),"Vast tarief"),"")</f>
        <v/>
      </c>
      <c r="O755" s="90"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0"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1"/>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59"/>
      <c r="Z755" s="49"/>
      <c r="AA755" s="37" t="str" cm="1">
        <f t="array" ref="AA755">IFERROR(IF(INDEX(SubsidieTabel!$Q$1:$T$9,MATCH($F755,SubsidieTabel!$Q$1:$Q$9,0),IFERROR(MATCH(Methode_Keuze,SubsidieTabel!$Q$1:$T$1,0),2))&lt;&gt;1=TRUE,"ja",""),"")</f>
        <v/>
      </c>
    </row>
    <row r="756" spans="1:27" ht="15" customHeight="1" x14ac:dyDescent="0.25">
      <c r="A756" s="85"/>
      <c r="B756" s="217" t="str">
        <f>IF(A756&lt;&gt;"",_xlfn.MAXIFS($B$1:B755,$A$1:A755,A756)+1,"")</f>
        <v/>
      </c>
      <c r="C756" s="50"/>
      <c r="D756" s="50"/>
      <c r="E756" s="50"/>
      <c r="F756" s="50"/>
      <c r="G756" s="280"/>
      <c r="H756" s="293"/>
      <c r="I756" s="292"/>
      <c r="J756" s="292"/>
      <c r="K756" s="200"/>
      <c r="L756" s="200"/>
      <c r="M756" s="89" t="str">
        <f>IFERROR(VLOOKUP(H756,Lijsten!$H$1:$I$100,2,0),"")</f>
        <v/>
      </c>
      <c r="N756" s="89" t="str" cm="1">
        <f t="array" ref="N756">IFERROR(_xlfn.IFS(AND(LEFT(F756,6)="Arbeid",RIGHT(F756,3)&lt;&gt;"IKS"),IFERROR(VLOOKUP($G756,Tb_KostenTypen[],2,0),"tarief"),RIGHT(F756,3)="IKS","Uurtarief",LEFT(F756,6)="Arbeid","Uurtarief",AND(LEFT(F756,8)="Bijdrage",RIGHT(F756,15)="(vrijwilligers)"),"Vast tarief"),"")</f>
        <v/>
      </c>
      <c r="O756" s="90"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0"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1"/>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59"/>
      <c r="Z756" s="49"/>
      <c r="AA756" s="37" t="str" cm="1">
        <f t="array" ref="AA756">IFERROR(IF(INDEX(SubsidieTabel!$Q$1:$T$9,MATCH($F756,SubsidieTabel!$Q$1:$Q$9,0),IFERROR(MATCH(Methode_Keuze,SubsidieTabel!$Q$1:$T$1,0),2))&lt;&gt;1=TRUE,"ja",""),"")</f>
        <v/>
      </c>
    </row>
    <row r="757" spans="1:27" ht="15" customHeight="1" x14ac:dyDescent="0.25">
      <c r="A757" s="85"/>
      <c r="B757" s="217" t="str">
        <f>IF(A757&lt;&gt;"",_xlfn.MAXIFS($B$1:B756,$A$1:A756,A757)+1,"")</f>
        <v/>
      </c>
      <c r="C757" s="50"/>
      <c r="D757" s="50"/>
      <c r="E757" s="50"/>
      <c r="F757" s="50"/>
      <c r="G757" s="280"/>
      <c r="H757" s="293"/>
      <c r="I757" s="292"/>
      <c r="J757" s="292"/>
      <c r="K757" s="200"/>
      <c r="L757" s="200"/>
      <c r="M757" s="89" t="str">
        <f>IFERROR(VLOOKUP(H757,Lijsten!$H$1:$I$100,2,0),"")</f>
        <v/>
      </c>
      <c r="N757" s="89" t="str" cm="1">
        <f t="array" ref="N757">IFERROR(_xlfn.IFS(AND(LEFT(F757,6)="Arbeid",RIGHT(F757,3)&lt;&gt;"IKS"),IFERROR(VLOOKUP($G757,Tb_KostenTypen[],2,0),"tarief"),RIGHT(F757,3)="IKS","Uurtarief",LEFT(F757,6)="Arbeid","Uurtarief",AND(LEFT(F757,8)="Bijdrage",RIGHT(F757,15)="(vrijwilligers)"),"Vast tarief"),"")</f>
        <v/>
      </c>
      <c r="O757" s="90"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0"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1"/>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59"/>
      <c r="Z757" s="49"/>
      <c r="AA757" s="37" t="str" cm="1">
        <f t="array" ref="AA757">IFERROR(IF(INDEX(SubsidieTabel!$Q$1:$T$9,MATCH($F757,SubsidieTabel!$Q$1:$Q$9,0),IFERROR(MATCH(Methode_Keuze,SubsidieTabel!$Q$1:$T$1,0),2))&lt;&gt;1=TRUE,"ja",""),"")</f>
        <v/>
      </c>
    </row>
    <row r="758" spans="1:27" ht="15" customHeight="1" x14ac:dyDescent="0.25">
      <c r="A758" s="85"/>
      <c r="B758" s="217" t="str">
        <f>IF(A758&lt;&gt;"",_xlfn.MAXIFS($B$1:B757,$A$1:A757,A758)+1,"")</f>
        <v/>
      </c>
      <c r="C758" s="50"/>
      <c r="D758" s="50"/>
      <c r="E758" s="50"/>
      <c r="F758" s="50"/>
      <c r="G758" s="280"/>
      <c r="H758" s="293"/>
      <c r="I758" s="292"/>
      <c r="J758" s="292"/>
      <c r="K758" s="200"/>
      <c r="L758" s="200"/>
      <c r="M758" s="89" t="str">
        <f>IFERROR(VLOOKUP(H758,Lijsten!$H$1:$I$100,2,0),"")</f>
        <v/>
      </c>
      <c r="N758" s="89" t="str" cm="1">
        <f t="array" ref="N758">IFERROR(_xlfn.IFS(AND(LEFT(F758,6)="Arbeid",RIGHT(F758,3)&lt;&gt;"IKS"),IFERROR(VLOOKUP($G758,Tb_KostenTypen[],2,0),"tarief"),RIGHT(F758,3)="IKS","Uurtarief",LEFT(F758,6)="Arbeid","Uurtarief",AND(LEFT(F758,8)="Bijdrage",RIGHT(F758,15)="(vrijwilligers)"),"Vast tarief"),"")</f>
        <v/>
      </c>
      <c r="O758" s="90"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0"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1"/>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59"/>
      <c r="Z758" s="49"/>
      <c r="AA758" s="37" t="str" cm="1">
        <f t="array" ref="AA758">IFERROR(IF(INDEX(SubsidieTabel!$Q$1:$T$9,MATCH($F758,SubsidieTabel!$Q$1:$Q$9,0),IFERROR(MATCH(Methode_Keuze,SubsidieTabel!$Q$1:$T$1,0),2))&lt;&gt;1=TRUE,"ja",""),"")</f>
        <v/>
      </c>
    </row>
    <row r="759" spans="1:27" ht="15" customHeight="1" x14ac:dyDescent="0.25">
      <c r="A759" s="85"/>
      <c r="B759" s="217" t="str">
        <f>IF(A759&lt;&gt;"",_xlfn.MAXIFS($B$1:B758,$A$1:A758,A759)+1,"")</f>
        <v/>
      </c>
      <c r="C759" s="50"/>
      <c r="D759" s="50"/>
      <c r="E759" s="50"/>
      <c r="F759" s="50"/>
      <c r="G759" s="280"/>
      <c r="H759" s="293"/>
      <c r="I759" s="292"/>
      <c r="J759" s="292"/>
      <c r="K759" s="200"/>
      <c r="L759" s="200"/>
      <c r="M759" s="89" t="str">
        <f>IFERROR(VLOOKUP(H759,Lijsten!$H$1:$I$100,2,0),"")</f>
        <v/>
      </c>
      <c r="N759" s="89" t="str" cm="1">
        <f t="array" ref="N759">IFERROR(_xlfn.IFS(AND(LEFT(F759,6)="Arbeid",RIGHT(F759,3)&lt;&gt;"IKS"),IFERROR(VLOOKUP($G759,Tb_KostenTypen[],2,0),"tarief"),RIGHT(F759,3)="IKS","Uurtarief",LEFT(F759,6)="Arbeid","Uurtarief",AND(LEFT(F759,8)="Bijdrage",RIGHT(F759,15)="(vrijwilligers)"),"Vast tarief"),"")</f>
        <v/>
      </c>
      <c r="O759" s="90"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0"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1"/>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59"/>
      <c r="Z759" s="49"/>
      <c r="AA759" s="37" t="str" cm="1">
        <f t="array" ref="AA759">IFERROR(IF(INDEX(SubsidieTabel!$Q$1:$T$9,MATCH($F759,SubsidieTabel!$Q$1:$Q$9,0),IFERROR(MATCH(Methode_Keuze,SubsidieTabel!$Q$1:$T$1,0),2))&lt;&gt;1=TRUE,"ja",""),"")</f>
        <v/>
      </c>
    </row>
    <row r="760" spans="1:27" ht="15" customHeight="1" x14ac:dyDescent="0.25">
      <c r="A760" s="85"/>
      <c r="B760" s="217" t="str">
        <f>IF(A760&lt;&gt;"",_xlfn.MAXIFS($B$1:B759,$A$1:A759,A760)+1,"")</f>
        <v/>
      </c>
      <c r="C760" s="50"/>
      <c r="D760" s="50"/>
      <c r="E760" s="50"/>
      <c r="F760" s="50"/>
      <c r="G760" s="280"/>
      <c r="H760" s="293"/>
      <c r="I760" s="292"/>
      <c r="J760" s="292"/>
      <c r="K760" s="200"/>
      <c r="L760" s="200"/>
      <c r="M760" s="89" t="str">
        <f>IFERROR(VLOOKUP(H760,Lijsten!$H$1:$I$100,2,0),"")</f>
        <v/>
      </c>
      <c r="N760" s="89" t="str" cm="1">
        <f t="array" ref="N760">IFERROR(_xlfn.IFS(AND(LEFT(F760,6)="Arbeid",RIGHT(F760,3)&lt;&gt;"IKS"),IFERROR(VLOOKUP($G760,Tb_KostenTypen[],2,0),"tarief"),RIGHT(F760,3)="IKS","Uurtarief",LEFT(F760,6)="Arbeid","Uurtarief",AND(LEFT(F760,8)="Bijdrage",RIGHT(F760,15)="(vrijwilligers)"),"Vast tarief"),"")</f>
        <v/>
      </c>
      <c r="O760" s="90"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0"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1"/>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59"/>
      <c r="Z760" s="49"/>
      <c r="AA760" s="37" t="str" cm="1">
        <f t="array" ref="AA760">IFERROR(IF(INDEX(SubsidieTabel!$Q$1:$T$9,MATCH($F760,SubsidieTabel!$Q$1:$Q$9,0),IFERROR(MATCH(Methode_Keuze,SubsidieTabel!$Q$1:$T$1,0),2))&lt;&gt;1=TRUE,"ja",""),"")</f>
        <v/>
      </c>
    </row>
    <row r="761" spans="1:27" ht="15" customHeight="1" x14ac:dyDescent="0.25">
      <c r="A761" s="85"/>
      <c r="B761" s="217" t="str">
        <f>IF(A761&lt;&gt;"",_xlfn.MAXIFS($B$1:B760,$A$1:A760,A761)+1,"")</f>
        <v/>
      </c>
      <c r="C761" s="50"/>
      <c r="D761" s="50"/>
      <c r="E761" s="50"/>
      <c r="F761" s="50"/>
      <c r="G761" s="280"/>
      <c r="H761" s="293"/>
      <c r="I761" s="292"/>
      <c r="J761" s="292"/>
      <c r="K761" s="200"/>
      <c r="L761" s="200"/>
      <c r="M761" s="89" t="str">
        <f>IFERROR(VLOOKUP(H761,Lijsten!$H$1:$I$100,2,0),"")</f>
        <v/>
      </c>
      <c r="N761" s="89" t="str" cm="1">
        <f t="array" ref="N761">IFERROR(_xlfn.IFS(AND(LEFT(F761,6)="Arbeid",RIGHT(F761,3)&lt;&gt;"IKS"),IFERROR(VLOOKUP($G761,Tb_KostenTypen[],2,0),"tarief"),RIGHT(F761,3)="IKS","Uurtarief",LEFT(F761,6)="Arbeid","Uurtarief",AND(LEFT(F761,8)="Bijdrage",RIGHT(F761,15)="(vrijwilligers)"),"Vast tarief"),"")</f>
        <v/>
      </c>
      <c r="O761" s="90"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0"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1"/>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59"/>
      <c r="Z761" s="49"/>
      <c r="AA761" s="37" t="str" cm="1">
        <f t="array" ref="AA761">IFERROR(IF(INDEX(SubsidieTabel!$Q$1:$T$9,MATCH($F761,SubsidieTabel!$Q$1:$Q$9,0),IFERROR(MATCH(Methode_Keuze,SubsidieTabel!$Q$1:$T$1,0),2))&lt;&gt;1=TRUE,"ja",""),"")</f>
        <v/>
      </c>
    </row>
    <row r="762" spans="1:27" ht="15" customHeight="1" x14ac:dyDescent="0.25">
      <c r="A762" s="85"/>
      <c r="B762" s="217" t="str">
        <f>IF(A762&lt;&gt;"",_xlfn.MAXIFS($B$1:B761,$A$1:A761,A762)+1,"")</f>
        <v/>
      </c>
      <c r="C762" s="50"/>
      <c r="D762" s="50"/>
      <c r="E762" s="50"/>
      <c r="F762" s="50"/>
      <c r="G762" s="280"/>
      <c r="H762" s="293"/>
      <c r="I762" s="292"/>
      <c r="J762" s="292"/>
      <c r="K762" s="200"/>
      <c r="L762" s="200"/>
      <c r="M762" s="89" t="str">
        <f>IFERROR(VLOOKUP(H762,Lijsten!$H$1:$I$100,2,0),"")</f>
        <v/>
      </c>
      <c r="N762" s="89" t="str" cm="1">
        <f t="array" ref="N762">IFERROR(_xlfn.IFS(AND(LEFT(F762,6)="Arbeid",RIGHT(F762,3)&lt;&gt;"IKS"),IFERROR(VLOOKUP($G762,Tb_KostenTypen[],2,0),"tarief"),RIGHT(F762,3)="IKS","Uurtarief",LEFT(F762,6)="Arbeid","Uurtarief",AND(LEFT(F762,8)="Bijdrage",RIGHT(F762,15)="(vrijwilligers)"),"Vast tarief"),"")</f>
        <v/>
      </c>
      <c r="O762" s="90"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0"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1"/>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59"/>
      <c r="Z762" s="49"/>
      <c r="AA762" s="37" t="str" cm="1">
        <f t="array" ref="AA762">IFERROR(IF(INDEX(SubsidieTabel!$Q$1:$T$9,MATCH($F762,SubsidieTabel!$Q$1:$Q$9,0),IFERROR(MATCH(Methode_Keuze,SubsidieTabel!$Q$1:$T$1,0),2))&lt;&gt;1=TRUE,"ja",""),"")</f>
        <v/>
      </c>
    </row>
    <row r="763" spans="1:27" ht="15" customHeight="1" x14ac:dyDescent="0.25">
      <c r="A763" s="85"/>
      <c r="B763" s="217" t="str">
        <f>IF(A763&lt;&gt;"",_xlfn.MAXIFS($B$1:B762,$A$1:A762,A763)+1,"")</f>
        <v/>
      </c>
      <c r="C763" s="50"/>
      <c r="D763" s="50"/>
      <c r="E763" s="50"/>
      <c r="F763" s="50"/>
      <c r="G763" s="280"/>
      <c r="H763" s="293"/>
      <c r="I763" s="292"/>
      <c r="J763" s="292"/>
      <c r="K763" s="200"/>
      <c r="L763" s="200"/>
      <c r="M763" s="89" t="str">
        <f>IFERROR(VLOOKUP(H763,Lijsten!$H$1:$I$100,2,0),"")</f>
        <v/>
      </c>
      <c r="N763" s="89" t="str" cm="1">
        <f t="array" ref="N763">IFERROR(_xlfn.IFS(AND(LEFT(F763,6)="Arbeid",RIGHT(F763,3)&lt;&gt;"IKS"),IFERROR(VLOOKUP($G763,Tb_KostenTypen[],2,0),"tarief"),RIGHT(F763,3)="IKS","Uurtarief",LEFT(F763,6)="Arbeid","Uurtarief",AND(LEFT(F763,8)="Bijdrage",RIGHT(F763,15)="(vrijwilligers)"),"Vast tarief"),"")</f>
        <v/>
      </c>
      <c r="O763" s="90"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0"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1"/>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59"/>
      <c r="Z763" s="49"/>
      <c r="AA763" s="37" t="str" cm="1">
        <f t="array" ref="AA763">IFERROR(IF(INDEX(SubsidieTabel!$Q$1:$T$9,MATCH($F763,SubsidieTabel!$Q$1:$Q$9,0),IFERROR(MATCH(Methode_Keuze,SubsidieTabel!$Q$1:$T$1,0),2))&lt;&gt;1=TRUE,"ja",""),"")</f>
        <v/>
      </c>
    </row>
    <row r="764" spans="1:27" ht="15" customHeight="1" x14ac:dyDescent="0.25">
      <c r="A764" s="85"/>
      <c r="B764" s="217" t="str">
        <f>IF(A764&lt;&gt;"",_xlfn.MAXIFS($B$1:B763,$A$1:A763,A764)+1,"")</f>
        <v/>
      </c>
      <c r="C764" s="50"/>
      <c r="D764" s="50"/>
      <c r="E764" s="50"/>
      <c r="F764" s="50"/>
      <c r="G764" s="280"/>
      <c r="H764" s="293"/>
      <c r="I764" s="292"/>
      <c r="J764" s="292"/>
      <c r="K764" s="200"/>
      <c r="L764" s="200"/>
      <c r="M764" s="89" t="str">
        <f>IFERROR(VLOOKUP(H764,Lijsten!$H$1:$I$100,2,0),"")</f>
        <v/>
      </c>
      <c r="N764" s="89" t="str" cm="1">
        <f t="array" ref="N764">IFERROR(_xlfn.IFS(AND(LEFT(F764,6)="Arbeid",RIGHT(F764,3)&lt;&gt;"IKS"),IFERROR(VLOOKUP($G764,Tb_KostenTypen[],2,0),"tarief"),RIGHT(F764,3)="IKS","Uurtarief",LEFT(F764,6)="Arbeid","Uurtarief",AND(LEFT(F764,8)="Bijdrage",RIGHT(F764,15)="(vrijwilligers)"),"Vast tarief"),"")</f>
        <v/>
      </c>
      <c r="O764" s="90"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0"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1"/>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59"/>
      <c r="Z764" s="49"/>
      <c r="AA764" s="37" t="str" cm="1">
        <f t="array" ref="AA764">IFERROR(IF(INDEX(SubsidieTabel!$Q$1:$T$9,MATCH($F764,SubsidieTabel!$Q$1:$Q$9,0),IFERROR(MATCH(Methode_Keuze,SubsidieTabel!$Q$1:$T$1,0),2))&lt;&gt;1=TRUE,"ja",""),"")</f>
        <v/>
      </c>
    </row>
    <row r="765" spans="1:27" ht="15" customHeight="1" x14ac:dyDescent="0.25">
      <c r="A765" s="85"/>
      <c r="B765" s="217" t="str">
        <f>IF(A765&lt;&gt;"",_xlfn.MAXIFS($B$1:B764,$A$1:A764,A765)+1,"")</f>
        <v/>
      </c>
      <c r="C765" s="50"/>
      <c r="D765" s="50"/>
      <c r="E765" s="50"/>
      <c r="F765" s="50"/>
      <c r="G765" s="280"/>
      <c r="H765" s="293"/>
      <c r="I765" s="292"/>
      <c r="J765" s="292"/>
      <c r="K765" s="200"/>
      <c r="L765" s="200"/>
      <c r="M765" s="89" t="str">
        <f>IFERROR(VLOOKUP(H765,Lijsten!$H$1:$I$100,2,0),"")</f>
        <v/>
      </c>
      <c r="N765" s="89" t="str" cm="1">
        <f t="array" ref="N765">IFERROR(_xlfn.IFS(AND(LEFT(F765,6)="Arbeid",RIGHT(F765,3)&lt;&gt;"IKS"),IFERROR(VLOOKUP($G765,Tb_KostenTypen[],2,0),"tarief"),RIGHT(F765,3)="IKS","Uurtarief",LEFT(F765,6)="Arbeid","Uurtarief",AND(LEFT(F765,8)="Bijdrage",RIGHT(F765,15)="(vrijwilligers)"),"Vast tarief"),"")</f>
        <v/>
      </c>
      <c r="O765" s="90"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0"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1"/>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59"/>
      <c r="Z765" s="49"/>
      <c r="AA765" s="37" t="str" cm="1">
        <f t="array" ref="AA765">IFERROR(IF(INDEX(SubsidieTabel!$Q$1:$T$9,MATCH($F765,SubsidieTabel!$Q$1:$Q$9,0),IFERROR(MATCH(Methode_Keuze,SubsidieTabel!$Q$1:$T$1,0),2))&lt;&gt;1=TRUE,"ja",""),"")</f>
        <v/>
      </c>
    </row>
    <row r="766" spans="1:27" ht="15" customHeight="1" x14ac:dyDescent="0.25">
      <c r="A766" s="85"/>
      <c r="B766" s="217" t="str">
        <f>IF(A766&lt;&gt;"",_xlfn.MAXIFS($B$1:B765,$A$1:A765,A766)+1,"")</f>
        <v/>
      </c>
      <c r="C766" s="50"/>
      <c r="D766" s="50"/>
      <c r="E766" s="50"/>
      <c r="F766" s="50"/>
      <c r="G766" s="280"/>
      <c r="H766" s="293"/>
      <c r="I766" s="292"/>
      <c r="J766" s="292"/>
      <c r="K766" s="200"/>
      <c r="L766" s="200"/>
      <c r="M766" s="89" t="str">
        <f>IFERROR(VLOOKUP(H766,Lijsten!$H$1:$I$100,2,0),"")</f>
        <v/>
      </c>
      <c r="N766" s="89" t="str" cm="1">
        <f t="array" ref="N766">IFERROR(_xlfn.IFS(AND(LEFT(F766,6)="Arbeid",RIGHT(F766,3)&lt;&gt;"IKS"),IFERROR(VLOOKUP($G766,Tb_KostenTypen[],2,0),"tarief"),RIGHT(F766,3)="IKS","Uurtarief",LEFT(F766,6)="Arbeid","Uurtarief",AND(LEFT(F766,8)="Bijdrage",RIGHT(F766,15)="(vrijwilligers)"),"Vast tarief"),"")</f>
        <v/>
      </c>
      <c r="O766" s="90"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0"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1"/>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59"/>
      <c r="Z766" s="49"/>
      <c r="AA766" s="37" t="str" cm="1">
        <f t="array" ref="AA766">IFERROR(IF(INDEX(SubsidieTabel!$Q$1:$T$9,MATCH($F766,SubsidieTabel!$Q$1:$Q$9,0),IFERROR(MATCH(Methode_Keuze,SubsidieTabel!$Q$1:$T$1,0),2))&lt;&gt;1=TRUE,"ja",""),"")</f>
        <v/>
      </c>
    </row>
    <row r="767" spans="1:27" ht="15" customHeight="1" x14ac:dyDescent="0.25">
      <c r="A767" s="85"/>
      <c r="B767" s="217" t="str">
        <f>IF(A767&lt;&gt;"",_xlfn.MAXIFS($B$1:B766,$A$1:A766,A767)+1,"")</f>
        <v/>
      </c>
      <c r="C767" s="50"/>
      <c r="D767" s="50"/>
      <c r="E767" s="50"/>
      <c r="F767" s="50"/>
      <c r="G767" s="280"/>
      <c r="H767" s="293"/>
      <c r="I767" s="292"/>
      <c r="J767" s="292"/>
      <c r="K767" s="200"/>
      <c r="L767" s="200"/>
      <c r="M767" s="89" t="str">
        <f>IFERROR(VLOOKUP(H767,Lijsten!$H$1:$I$100,2,0),"")</f>
        <v/>
      </c>
      <c r="N767" s="89" t="str" cm="1">
        <f t="array" ref="N767">IFERROR(_xlfn.IFS(AND(LEFT(F767,6)="Arbeid",RIGHT(F767,3)&lt;&gt;"IKS"),IFERROR(VLOOKUP($G767,Tb_KostenTypen[],2,0),"tarief"),RIGHT(F767,3)="IKS","Uurtarief",LEFT(F767,6)="Arbeid","Uurtarief",AND(LEFT(F767,8)="Bijdrage",RIGHT(F767,15)="(vrijwilligers)"),"Vast tarief"),"")</f>
        <v/>
      </c>
      <c r="O767" s="90"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0"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1"/>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59"/>
      <c r="Z767" s="49"/>
      <c r="AA767" s="37" t="str" cm="1">
        <f t="array" ref="AA767">IFERROR(IF(INDEX(SubsidieTabel!$Q$1:$T$9,MATCH($F767,SubsidieTabel!$Q$1:$Q$9,0),IFERROR(MATCH(Methode_Keuze,SubsidieTabel!$Q$1:$T$1,0),2))&lt;&gt;1=TRUE,"ja",""),"")</f>
        <v/>
      </c>
    </row>
    <row r="768" spans="1:27" ht="15" customHeight="1" x14ac:dyDescent="0.25">
      <c r="A768" s="85"/>
      <c r="B768" s="217" t="str">
        <f>IF(A768&lt;&gt;"",_xlfn.MAXIFS($B$1:B767,$A$1:A767,A768)+1,"")</f>
        <v/>
      </c>
      <c r="C768" s="50"/>
      <c r="D768" s="50"/>
      <c r="E768" s="50"/>
      <c r="F768" s="50"/>
      <c r="G768" s="280"/>
      <c r="H768" s="293"/>
      <c r="I768" s="292"/>
      <c r="J768" s="292"/>
      <c r="K768" s="200"/>
      <c r="L768" s="200"/>
      <c r="M768" s="89" t="str">
        <f>IFERROR(VLOOKUP(H768,Lijsten!$H$1:$I$100,2,0),"")</f>
        <v/>
      </c>
      <c r="N768" s="89" t="str" cm="1">
        <f t="array" ref="N768">IFERROR(_xlfn.IFS(AND(LEFT(F768,6)="Arbeid",RIGHT(F768,3)&lt;&gt;"IKS"),IFERROR(VLOOKUP($G768,Tb_KostenTypen[],2,0),"tarief"),RIGHT(F768,3)="IKS","Uurtarief",LEFT(F768,6)="Arbeid","Uurtarief",AND(LEFT(F768,8)="Bijdrage",RIGHT(F768,15)="(vrijwilligers)"),"Vast tarief"),"")</f>
        <v/>
      </c>
      <c r="O768" s="90"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0"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1"/>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59"/>
      <c r="Z768" s="49"/>
      <c r="AA768" s="37" t="str" cm="1">
        <f t="array" ref="AA768">IFERROR(IF(INDEX(SubsidieTabel!$Q$1:$T$9,MATCH($F768,SubsidieTabel!$Q$1:$Q$9,0),IFERROR(MATCH(Methode_Keuze,SubsidieTabel!$Q$1:$T$1,0),2))&lt;&gt;1=TRUE,"ja",""),"")</f>
        <v/>
      </c>
    </row>
    <row r="769" spans="1:27" ht="15" customHeight="1" x14ac:dyDescent="0.25">
      <c r="A769" s="85"/>
      <c r="B769" s="217" t="str">
        <f>IF(A769&lt;&gt;"",_xlfn.MAXIFS($B$1:B768,$A$1:A768,A769)+1,"")</f>
        <v/>
      </c>
      <c r="C769" s="50"/>
      <c r="D769" s="50"/>
      <c r="E769" s="50"/>
      <c r="F769" s="50"/>
      <c r="G769" s="280"/>
      <c r="H769" s="293"/>
      <c r="I769" s="292"/>
      <c r="J769" s="292"/>
      <c r="K769" s="200"/>
      <c r="L769" s="200"/>
      <c r="M769" s="89" t="str">
        <f>IFERROR(VLOOKUP(H769,Lijsten!$H$1:$I$100,2,0),"")</f>
        <v/>
      </c>
      <c r="N769" s="89" t="str" cm="1">
        <f t="array" ref="N769">IFERROR(_xlfn.IFS(AND(LEFT(F769,6)="Arbeid",RIGHT(F769,3)&lt;&gt;"IKS"),IFERROR(VLOOKUP($G769,Tb_KostenTypen[],2,0),"tarief"),RIGHT(F769,3)="IKS","Uurtarief",LEFT(F769,6)="Arbeid","Uurtarief",AND(LEFT(F769,8)="Bijdrage",RIGHT(F769,15)="(vrijwilligers)"),"Vast tarief"),"")</f>
        <v/>
      </c>
      <c r="O769" s="90"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0"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1"/>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59"/>
      <c r="Z769" s="49"/>
      <c r="AA769" s="37" t="str" cm="1">
        <f t="array" ref="AA769">IFERROR(IF(INDEX(SubsidieTabel!$Q$1:$T$9,MATCH($F769,SubsidieTabel!$Q$1:$Q$9,0),IFERROR(MATCH(Methode_Keuze,SubsidieTabel!$Q$1:$T$1,0),2))&lt;&gt;1=TRUE,"ja",""),"")</f>
        <v/>
      </c>
    </row>
    <row r="770" spans="1:27" ht="15" customHeight="1" x14ac:dyDescent="0.25">
      <c r="A770" s="85"/>
      <c r="B770" s="217" t="str">
        <f>IF(A770&lt;&gt;"",_xlfn.MAXIFS($B$1:B769,$A$1:A769,A770)+1,"")</f>
        <v/>
      </c>
      <c r="C770" s="50"/>
      <c r="D770" s="50"/>
      <c r="E770" s="50"/>
      <c r="F770" s="50"/>
      <c r="G770" s="280"/>
      <c r="H770" s="293"/>
      <c r="I770" s="292"/>
      <c r="J770" s="292"/>
      <c r="K770" s="200"/>
      <c r="L770" s="200"/>
      <c r="M770" s="89" t="str">
        <f>IFERROR(VLOOKUP(H770,Lijsten!$H$1:$I$100,2,0),"")</f>
        <v/>
      </c>
      <c r="N770" s="89" t="str" cm="1">
        <f t="array" ref="N770">IFERROR(_xlfn.IFS(AND(LEFT(F770,6)="Arbeid",RIGHT(F770,3)&lt;&gt;"IKS"),IFERROR(VLOOKUP($G770,Tb_KostenTypen[],2,0),"tarief"),RIGHT(F770,3)="IKS","Uurtarief",LEFT(F770,6)="Arbeid","Uurtarief",AND(LEFT(F770,8)="Bijdrage",RIGHT(F770,15)="(vrijwilligers)"),"Vast tarief"),"")</f>
        <v/>
      </c>
      <c r="O770" s="90"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0"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1"/>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59"/>
      <c r="Z770" s="49"/>
      <c r="AA770" s="37" t="str" cm="1">
        <f t="array" ref="AA770">IFERROR(IF(INDEX(SubsidieTabel!$Q$1:$T$9,MATCH($F770,SubsidieTabel!$Q$1:$Q$9,0),IFERROR(MATCH(Methode_Keuze,SubsidieTabel!$Q$1:$T$1,0),2))&lt;&gt;1=TRUE,"ja",""),"")</f>
        <v/>
      </c>
    </row>
    <row r="771" spans="1:27" ht="15" customHeight="1" x14ac:dyDescent="0.25">
      <c r="A771" s="85"/>
      <c r="B771" s="217" t="str">
        <f>IF(A771&lt;&gt;"",_xlfn.MAXIFS($B$1:B770,$A$1:A770,A771)+1,"")</f>
        <v/>
      </c>
      <c r="C771" s="50"/>
      <c r="D771" s="50"/>
      <c r="E771" s="50"/>
      <c r="F771" s="50"/>
      <c r="G771" s="280"/>
      <c r="H771" s="293"/>
      <c r="I771" s="292"/>
      <c r="J771" s="292"/>
      <c r="K771" s="200"/>
      <c r="L771" s="200"/>
      <c r="M771" s="89" t="str">
        <f>IFERROR(VLOOKUP(H771,Lijsten!$H$1:$I$100,2,0),"")</f>
        <v/>
      </c>
      <c r="N771" s="89" t="str" cm="1">
        <f t="array" ref="N771">IFERROR(_xlfn.IFS(AND(LEFT(F771,6)="Arbeid",RIGHT(F771,3)&lt;&gt;"IKS"),IFERROR(VLOOKUP($G771,Tb_KostenTypen[],2,0),"tarief"),RIGHT(F771,3)="IKS","Uurtarief",LEFT(F771,6)="Arbeid","Uurtarief",AND(LEFT(F771,8)="Bijdrage",RIGHT(F771,15)="(vrijwilligers)"),"Vast tarief"),"")</f>
        <v/>
      </c>
      <c r="O771" s="90"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0"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1"/>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59"/>
      <c r="Z771" s="49"/>
      <c r="AA771" s="37" t="str" cm="1">
        <f t="array" ref="AA771">IFERROR(IF(INDEX(SubsidieTabel!$Q$1:$T$9,MATCH($F771,SubsidieTabel!$Q$1:$Q$9,0),IFERROR(MATCH(Methode_Keuze,SubsidieTabel!$Q$1:$T$1,0),2))&lt;&gt;1=TRUE,"ja",""),"")</f>
        <v/>
      </c>
    </row>
    <row r="772" spans="1:27" ht="15" customHeight="1" x14ac:dyDescent="0.25">
      <c r="A772" s="85"/>
      <c r="B772" s="217" t="str">
        <f>IF(A772&lt;&gt;"",_xlfn.MAXIFS($B$1:B771,$A$1:A771,A772)+1,"")</f>
        <v/>
      </c>
      <c r="C772" s="50"/>
      <c r="D772" s="50"/>
      <c r="E772" s="50"/>
      <c r="F772" s="50"/>
      <c r="G772" s="280"/>
      <c r="H772" s="293"/>
      <c r="I772" s="292"/>
      <c r="J772" s="292"/>
      <c r="K772" s="200"/>
      <c r="L772" s="200"/>
      <c r="M772" s="89" t="str">
        <f>IFERROR(VLOOKUP(H772,Lijsten!$H$1:$I$100,2,0),"")</f>
        <v/>
      </c>
      <c r="N772" s="89" t="str" cm="1">
        <f t="array" ref="N772">IFERROR(_xlfn.IFS(AND(LEFT(F772,6)="Arbeid",RIGHT(F772,3)&lt;&gt;"IKS"),IFERROR(VLOOKUP($G772,Tb_KostenTypen[],2,0),"tarief"),RIGHT(F772,3)="IKS","Uurtarief",LEFT(F772,6)="Arbeid","Uurtarief",AND(LEFT(F772,8)="Bijdrage",RIGHT(F772,15)="(vrijwilligers)"),"Vast tarief"),"")</f>
        <v/>
      </c>
      <c r="O772" s="90"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0"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1"/>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59"/>
      <c r="Z772" s="49"/>
      <c r="AA772" s="37" t="str" cm="1">
        <f t="array" ref="AA772">IFERROR(IF(INDEX(SubsidieTabel!$Q$1:$T$9,MATCH($F772,SubsidieTabel!$Q$1:$Q$9,0),IFERROR(MATCH(Methode_Keuze,SubsidieTabel!$Q$1:$T$1,0),2))&lt;&gt;1=TRUE,"ja",""),"")</f>
        <v/>
      </c>
    </row>
    <row r="773" spans="1:27" ht="15" customHeight="1" x14ac:dyDescent="0.25">
      <c r="A773" s="85"/>
      <c r="B773" s="217" t="str">
        <f>IF(A773&lt;&gt;"",_xlfn.MAXIFS($B$1:B772,$A$1:A772,A773)+1,"")</f>
        <v/>
      </c>
      <c r="C773" s="50"/>
      <c r="D773" s="50"/>
      <c r="E773" s="50"/>
      <c r="F773" s="50"/>
      <c r="G773" s="280"/>
      <c r="H773" s="293"/>
      <c r="I773" s="292"/>
      <c r="J773" s="292"/>
      <c r="K773" s="200"/>
      <c r="L773" s="200"/>
      <c r="M773" s="89" t="str">
        <f>IFERROR(VLOOKUP(H773,Lijsten!$H$1:$I$100,2,0),"")</f>
        <v/>
      </c>
      <c r="N773" s="89" t="str" cm="1">
        <f t="array" ref="N773">IFERROR(_xlfn.IFS(AND(LEFT(F773,6)="Arbeid",RIGHT(F773,3)&lt;&gt;"IKS"),IFERROR(VLOOKUP($G773,Tb_KostenTypen[],2,0),"tarief"),RIGHT(F773,3)="IKS","Uurtarief",LEFT(F773,6)="Arbeid","Uurtarief",AND(LEFT(F773,8)="Bijdrage",RIGHT(F773,15)="(vrijwilligers)"),"Vast tarief"),"")</f>
        <v/>
      </c>
      <c r="O773" s="90"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0"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1"/>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59"/>
      <c r="Z773" s="49"/>
      <c r="AA773" s="37" t="str" cm="1">
        <f t="array" ref="AA773">IFERROR(IF(INDEX(SubsidieTabel!$Q$1:$T$9,MATCH($F773,SubsidieTabel!$Q$1:$Q$9,0),IFERROR(MATCH(Methode_Keuze,SubsidieTabel!$Q$1:$T$1,0),2))&lt;&gt;1=TRUE,"ja",""),"")</f>
        <v/>
      </c>
    </row>
    <row r="774" spans="1:27" ht="15" customHeight="1" x14ac:dyDescent="0.25">
      <c r="A774" s="85"/>
      <c r="B774" s="217" t="str">
        <f>IF(A774&lt;&gt;"",_xlfn.MAXIFS($B$1:B773,$A$1:A773,A774)+1,"")</f>
        <v/>
      </c>
      <c r="C774" s="50"/>
      <c r="D774" s="50"/>
      <c r="E774" s="50"/>
      <c r="F774" s="50"/>
      <c r="G774" s="280"/>
      <c r="H774" s="293"/>
      <c r="I774" s="292"/>
      <c r="J774" s="292"/>
      <c r="K774" s="200"/>
      <c r="L774" s="200"/>
      <c r="M774" s="89" t="str">
        <f>IFERROR(VLOOKUP(H774,Lijsten!$H$1:$I$100,2,0),"")</f>
        <v/>
      </c>
      <c r="N774" s="89" t="str" cm="1">
        <f t="array" ref="N774">IFERROR(_xlfn.IFS(AND(LEFT(F774,6)="Arbeid",RIGHT(F774,3)&lt;&gt;"IKS"),IFERROR(VLOOKUP($G774,Tb_KostenTypen[],2,0),"tarief"),RIGHT(F774,3)="IKS","Uurtarief",LEFT(F774,6)="Arbeid","Uurtarief",AND(LEFT(F774,8)="Bijdrage",RIGHT(F774,15)="(vrijwilligers)"),"Vast tarief"),"")</f>
        <v/>
      </c>
      <c r="O774" s="90"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0"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1"/>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59"/>
      <c r="Z774" s="49"/>
      <c r="AA774" s="37" t="str" cm="1">
        <f t="array" ref="AA774">IFERROR(IF(INDEX(SubsidieTabel!$Q$1:$T$9,MATCH($F774,SubsidieTabel!$Q$1:$Q$9,0),IFERROR(MATCH(Methode_Keuze,SubsidieTabel!$Q$1:$T$1,0),2))&lt;&gt;1=TRUE,"ja",""),"")</f>
        <v/>
      </c>
    </row>
    <row r="775" spans="1:27" ht="15" customHeight="1" x14ac:dyDescent="0.25">
      <c r="A775" s="85"/>
      <c r="B775" s="217" t="str">
        <f>IF(A775&lt;&gt;"",_xlfn.MAXIFS($B$1:B774,$A$1:A774,A775)+1,"")</f>
        <v/>
      </c>
      <c r="C775" s="50"/>
      <c r="D775" s="50"/>
      <c r="E775" s="50"/>
      <c r="F775" s="50"/>
      <c r="G775" s="280"/>
      <c r="H775" s="293"/>
      <c r="I775" s="292"/>
      <c r="J775" s="292"/>
      <c r="K775" s="200"/>
      <c r="L775" s="200"/>
      <c r="M775" s="89" t="str">
        <f>IFERROR(VLOOKUP(H775,Lijsten!$H$1:$I$100,2,0),"")</f>
        <v/>
      </c>
      <c r="N775" s="89" t="str" cm="1">
        <f t="array" ref="N775">IFERROR(_xlfn.IFS(AND(LEFT(F775,6)="Arbeid",RIGHT(F775,3)&lt;&gt;"IKS"),IFERROR(VLOOKUP($G775,Tb_KostenTypen[],2,0),"tarief"),RIGHT(F775,3)="IKS","Uurtarief",LEFT(F775,6)="Arbeid","Uurtarief",AND(LEFT(F775,8)="Bijdrage",RIGHT(F775,15)="(vrijwilligers)"),"Vast tarief"),"")</f>
        <v/>
      </c>
      <c r="O775" s="90"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0"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1"/>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59"/>
      <c r="Z775" s="49"/>
      <c r="AA775" s="37" t="str" cm="1">
        <f t="array" ref="AA775">IFERROR(IF(INDEX(SubsidieTabel!$Q$1:$T$9,MATCH($F775,SubsidieTabel!$Q$1:$Q$9,0),IFERROR(MATCH(Methode_Keuze,SubsidieTabel!$Q$1:$T$1,0),2))&lt;&gt;1=TRUE,"ja",""),"")</f>
        <v/>
      </c>
    </row>
    <row r="776" spans="1:27" ht="15" customHeight="1" x14ac:dyDescent="0.25">
      <c r="A776" s="85"/>
      <c r="B776" s="217" t="str">
        <f>IF(A776&lt;&gt;"",_xlfn.MAXIFS($B$1:B775,$A$1:A775,A776)+1,"")</f>
        <v/>
      </c>
      <c r="C776" s="50"/>
      <c r="D776" s="50"/>
      <c r="E776" s="50"/>
      <c r="F776" s="50"/>
      <c r="G776" s="280"/>
      <c r="H776" s="293"/>
      <c r="I776" s="292"/>
      <c r="J776" s="292"/>
      <c r="K776" s="200"/>
      <c r="L776" s="200"/>
      <c r="M776" s="89" t="str">
        <f>IFERROR(VLOOKUP(H776,Lijsten!$H$1:$I$100,2,0),"")</f>
        <v/>
      </c>
      <c r="N776" s="89" t="str" cm="1">
        <f t="array" ref="N776">IFERROR(_xlfn.IFS(AND(LEFT(F776,6)="Arbeid",RIGHT(F776,3)&lt;&gt;"IKS"),IFERROR(VLOOKUP($G776,Tb_KostenTypen[],2,0),"tarief"),RIGHT(F776,3)="IKS","Uurtarief",LEFT(F776,6)="Arbeid","Uurtarief",AND(LEFT(F776,8)="Bijdrage",RIGHT(F776,15)="(vrijwilligers)"),"Vast tarief"),"")</f>
        <v/>
      </c>
      <c r="O776" s="90"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0"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1"/>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59"/>
      <c r="Z776" s="49"/>
      <c r="AA776" s="37" t="str" cm="1">
        <f t="array" ref="AA776">IFERROR(IF(INDEX(SubsidieTabel!$Q$1:$T$9,MATCH($F776,SubsidieTabel!$Q$1:$Q$9,0),IFERROR(MATCH(Methode_Keuze,SubsidieTabel!$Q$1:$T$1,0),2))&lt;&gt;1=TRUE,"ja",""),"")</f>
        <v/>
      </c>
    </row>
    <row r="777" spans="1:27" ht="15" customHeight="1" x14ac:dyDescent="0.25">
      <c r="A777" s="85"/>
      <c r="B777" s="217" t="str">
        <f>IF(A777&lt;&gt;"",_xlfn.MAXIFS($B$1:B776,$A$1:A776,A777)+1,"")</f>
        <v/>
      </c>
      <c r="C777" s="50"/>
      <c r="D777" s="50"/>
      <c r="E777" s="50"/>
      <c r="F777" s="50"/>
      <c r="G777" s="280"/>
      <c r="H777" s="293"/>
      <c r="I777" s="292"/>
      <c r="J777" s="292"/>
      <c r="K777" s="200"/>
      <c r="L777" s="200"/>
      <c r="M777" s="89" t="str">
        <f>IFERROR(VLOOKUP(H777,Lijsten!$H$1:$I$100,2,0),"")</f>
        <v/>
      </c>
      <c r="N777" s="89" t="str" cm="1">
        <f t="array" ref="N777">IFERROR(_xlfn.IFS(AND(LEFT(F777,6)="Arbeid",RIGHT(F777,3)&lt;&gt;"IKS"),IFERROR(VLOOKUP($G777,Tb_KostenTypen[],2,0),"tarief"),RIGHT(F777,3)="IKS","Uurtarief",LEFT(F777,6)="Arbeid","Uurtarief",AND(LEFT(F777,8)="Bijdrage",RIGHT(F777,15)="(vrijwilligers)"),"Vast tarief"),"")</f>
        <v/>
      </c>
      <c r="O777" s="90"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0"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1"/>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59"/>
      <c r="Z777" s="49"/>
      <c r="AA777" s="37" t="str" cm="1">
        <f t="array" ref="AA777">IFERROR(IF(INDEX(SubsidieTabel!$Q$1:$T$9,MATCH($F777,SubsidieTabel!$Q$1:$Q$9,0),IFERROR(MATCH(Methode_Keuze,SubsidieTabel!$Q$1:$T$1,0),2))&lt;&gt;1=TRUE,"ja",""),"")</f>
        <v/>
      </c>
    </row>
    <row r="778" spans="1:27" ht="15" customHeight="1" x14ac:dyDescent="0.25">
      <c r="A778" s="85"/>
      <c r="B778" s="217" t="str">
        <f>IF(A778&lt;&gt;"",_xlfn.MAXIFS($B$1:B777,$A$1:A777,A778)+1,"")</f>
        <v/>
      </c>
      <c r="C778" s="50"/>
      <c r="D778" s="50"/>
      <c r="E778" s="50"/>
      <c r="F778" s="50"/>
      <c r="G778" s="280"/>
      <c r="H778" s="293"/>
      <c r="I778" s="292"/>
      <c r="J778" s="292"/>
      <c r="K778" s="200"/>
      <c r="L778" s="200"/>
      <c r="M778" s="89" t="str">
        <f>IFERROR(VLOOKUP(H778,Lijsten!$H$1:$I$100,2,0),"")</f>
        <v/>
      </c>
      <c r="N778" s="89" t="str" cm="1">
        <f t="array" ref="N778">IFERROR(_xlfn.IFS(AND(LEFT(F778,6)="Arbeid",RIGHT(F778,3)&lt;&gt;"IKS"),IFERROR(VLOOKUP($G778,Tb_KostenTypen[],2,0),"tarief"),RIGHT(F778,3)="IKS","Uurtarief",LEFT(F778,6)="Arbeid","Uurtarief",AND(LEFT(F778,8)="Bijdrage",RIGHT(F778,15)="(vrijwilligers)"),"Vast tarief"),"")</f>
        <v/>
      </c>
      <c r="O778" s="90"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0"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1"/>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59"/>
      <c r="Z778" s="49"/>
      <c r="AA778" s="37" t="str" cm="1">
        <f t="array" ref="AA778">IFERROR(IF(INDEX(SubsidieTabel!$Q$1:$T$9,MATCH($F778,SubsidieTabel!$Q$1:$Q$9,0),IFERROR(MATCH(Methode_Keuze,SubsidieTabel!$Q$1:$T$1,0),2))&lt;&gt;1=TRUE,"ja",""),"")</f>
        <v/>
      </c>
    </row>
    <row r="779" spans="1:27" ht="15" customHeight="1" x14ac:dyDescent="0.25">
      <c r="A779" s="85"/>
      <c r="B779" s="217" t="str">
        <f>IF(A779&lt;&gt;"",_xlfn.MAXIFS($B$1:B778,$A$1:A778,A779)+1,"")</f>
        <v/>
      </c>
      <c r="C779" s="50"/>
      <c r="D779" s="50"/>
      <c r="E779" s="50"/>
      <c r="F779" s="50"/>
      <c r="G779" s="280"/>
      <c r="H779" s="293"/>
      <c r="I779" s="292"/>
      <c r="J779" s="292"/>
      <c r="K779" s="200"/>
      <c r="L779" s="200"/>
      <c r="M779" s="89" t="str">
        <f>IFERROR(VLOOKUP(H779,Lijsten!$H$1:$I$100,2,0),"")</f>
        <v/>
      </c>
      <c r="N779" s="89" t="str" cm="1">
        <f t="array" ref="N779">IFERROR(_xlfn.IFS(AND(LEFT(F779,6)="Arbeid",RIGHT(F779,3)&lt;&gt;"IKS"),IFERROR(VLOOKUP($G779,Tb_KostenTypen[],2,0),"tarief"),RIGHT(F779,3)="IKS","Uurtarief",LEFT(F779,6)="Arbeid","Uurtarief",AND(LEFT(F779,8)="Bijdrage",RIGHT(F779,15)="(vrijwilligers)"),"Vast tarief"),"")</f>
        <v/>
      </c>
      <c r="O779" s="90"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0"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1"/>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59"/>
      <c r="Z779" s="49"/>
      <c r="AA779" s="37" t="str" cm="1">
        <f t="array" ref="AA779">IFERROR(IF(INDEX(SubsidieTabel!$Q$1:$T$9,MATCH($F779,SubsidieTabel!$Q$1:$Q$9,0),IFERROR(MATCH(Methode_Keuze,SubsidieTabel!$Q$1:$T$1,0),2))&lt;&gt;1=TRUE,"ja",""),"")</f>
        <v/>
      </c>
    </row>
    <row r="780" spans="1:27" ht="15" customHeight="1" x14ac:dyDescent="0.25">
      <c r="A780" s="85"/>
      <c r="B780" s="217" t="str">
        <f>IF(A780&lt;&gt;"",_xlfn.MAXIFS($B$1:B779,$A$1:A779,A780)+1,"")</f>
        <v/>
      </c>
      <c r="C780" s="50"/>
      <c r="D780" s="50"/>
      <c r="E780" s="50"/>
      <c r="F780" s="50"/>
      <c r="G780" s="280"/>
      <c r="H780" s="293"/>
      <c r="I780" s="292"/>
      <c r="J780" s="292"/>
      <c r="K780" s="200"/>
      <c r="L780" s="200"/>
      <c r="M780" s="89" t="str">
        <f>IFERROR(VLOOKUP(H780,Lijsten!$H$1:$I$100,2,0),"")</f>
        <v/>
      </c>
      <c r="N780" s="89" t="str" cm="1">
        <f t="array" ref="N780">IFERROR(_xlfn.IFS(AND(LEFT(F780,6)="Arbeid",RIGHT(F780,3)&lt;&gt;"IKS"),IFERROR(VLOOKUP($G780,Tb_KostenTypen[],2,0),"tarief"),RIGHT(F780,3)="IKS","Uurtarief",LEFT(F780,6)="Arbeid","Uurtarief",AND(LEFT(F780,8)="Bijdrage",RIGHT(F780,15)="(vrijwilligers)"),"Vast tarief"),"")</f>
        <v/>
      </c>
      <c r="O780" s="90"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0"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1"/>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59"/>
      <c r="Z780" s="49"/>
      <c r="AA780" s="37" t="str" cm="1">
        <f t="array" ref="AA780">IFERROR(IF(INDEX(SubsidieTabel!$Q$1:$T$9,MATCH($F780,SubsidieTabel!$Q$1:$Q$9,0),IFERROR(MATCH(Methode_Keuze,SubsidieTabel!$Q$1:$T$1,0),2))&lt;&gt;1=TRUE,"ja",""),"")</f>
        <v/>
      </c>
    </row>
    <row r="781" spans="1:27" ht="15" customHeight="1" x14ac:dyDescent="0.25">
      <c r="A781" s="85"/>
      <c r="B781" s="217" t="str">
        <f>IF(A781&lt;&gt;"",_xlfn.MAXIFS($B$1:B780,$A$1:A780,A781)+1,"")</f>
        <v/>
      </c>
      <c r="C781" s="50"/>
      <c r="D781" s="50"/>
      <c r="E781" s="50"/>
      <c r="F781" s="50"/>
      <c r="G781" s="280"/>
      <c r="H781" s="293"/>
      <c r="I781" s="292"/>
      <c r="J781" s="292"/>
      <c r="K781" s="200"/>
      <c r="L781" s="200"/>
      <c r="M781" s="89" t="str">
        <f>IFERROR(VLOOKUP(H781,Lijsten!$H$1:$I$100,2,0),"")</f>
        <v/>
      </c>
      <c r="N781" s="89" t="str" cm="1">
        <f t="array" ref="N781">IFERROR(_xlfn.IFS(AND(LEFT(F781,6)="Arbeid",RIGHT(F781,3)&lt;&gt;"IKS"),IFERROR(VLOOKUP($G781,Tb_KostenTypen[],2,0),"tarief"),RIGHT(F781,3)="IKS","Uurtarief",LEFT(F781,6)="Arbeid","Uurtarief",AND(LEFT(F781,8)="Bijdrage",RIGHT(F781,15)="(vrijwilligers)"),"Vast tarief"),"")</f>
        <v/>
      </c>
      <c r="O781" s="90"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0"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1"/>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59"/>
      <c r="Z781" s="49"/>
      <c r="AA781" s="37" t="str" cm="1">
        <f t="array" ref="AA781">IFERROR(IF(INDEX(SubsidieTabel!$Q$1:$T$9,MATCH($F781,SubsidieTabel!$Q$1:$Q$9,0),IFERROR(MATCH(Methode_Keuze,SubsidieTabel!$Q$1:$T$1,0),2))&lt;&gt;1=TRUE,"ja",""),"")</f>
        <v/>
      </c>
    </row>
    <row r="782" spans="1:27" ht="15" customHeight="1" x14ac:dyDescent="0.25">
      <c r="A782" s="85"/>
      <c r="B782" s="217" t="str">
        <f>IF(A782&lt;&gt;"",_xlfn.MAXIFS($B$1:B781,$A$1:A781,A782)+1,"")</f>
        <v/>
      </c>
      <c r="C782" s="50"/>
      <c r="D782" s="50"/>
      <c r="E782" s="50"/>
      <c r="F782" s="50"/>
      <c r="G782" s="280"/>
      <c r="H782" s="293"/>
      <c r="I782" s="292"/>
      <c r="J782" s="292"/>
      <c r="K782" s="200"/>
      <c r="L782" s="200"/>
      <c r="M782" s="89" t="str">
        <f>IFERROR(VLOOKUP(H782,Lijsten!$H$1:$I$100,2,0),"")</f>
        <v/>
      </c>
      <c r="N782" s="89" t="str" cm="1">
        <f t="array" ref="N782">IFERROR(_xlfn.IFS(AND(LEFT(F782,6)="Arbeid",RIGHT(F782,3)&lt;&gt;"IKS"),IFERROR(VLOOKUP($G782,Tb_KostenTypen[],2,0),"tarief"),RIGHT(F782,3)="IKS","Uurtarief",LEFT(F782,6)="Arbeid","Uurtarief",AND(LEFT(F782,8)="Bijdrage",RIGHT(F782,15)="(vrijwilligers)"),"Vast tarief"),"")</f>
        <v/>
      </c>
      <c r="O782" s="90"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0"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1"/>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59"/>
      <c r="Z782" s="49"/>
      <c r="AA782" s="37" t="str" cm="1">
        <f t="array" ref="AA782">IFERROR(IF(INDEX(SubsidieTabel!$Q$1:$T$9,MATCH($F782,SubsidieTabel!$Q$1:$Q$9,0),IFERROR(MATCH(Methode_Keuze,SubsidieTabel!$Q$1:$T$1,0),2))&lt;&gt;1=TRUE,"ja",""),"")</f>
        <v/>
      </c>
    </row>
    <row r="783" spans="1:27" ht="15" customHeight="1" x14ac:dyDescent="0.25">
      <c r="A783" s="85"/>
      <c r="B783" s="217" t="str">
        <f>IF(A783&lt;&gt;"",_xlfn.MAXIFS($B$1:B782,$A$1:A782,A783)+1,"")</f>
        <v/>
      </c>
      <c r="C783" s="50"/>
      <c r="D783" s="50"/>
      <c r="E783" s="50"/>
      <c r="F783" s="50"/>
      <c r="G783" s="280"/>
      <c r="H783" s="293"/>
      <c r="I783" s="292"/>
      <c r="J783" s="292"/>
      <c r="K783" s="200"/>
      <c r="L783" s="200"/>
      <c r="M783" s="89" t="str">
        <f>IFERROR(VLOOKUP(H783,Lijsten!$H$1:$I$100,2,0),"")</f>
        <v/>
      </c>
      <c r="N783" s="89" t="str" cm="1">
        <f t="array" ref="N783">IFERROR(_xlfn.IFS(AND(LEFT(F783,6)="Arbeid",RIGHT(F783,3)&lt;&gt;"IKS"),IFERROR(VLOOKUP($G783,Tb_KostenTypen[],2,0),"tarief"),RIGHT(F783,3)="IKS","Uurtarief",LEFT(F783,6)="Arbeid","Uurtarief",AND(LEFT(F783,8)="Bijdrage",RIGHT(F783,15)="(vrijwilligers)"),"Vast tarief"),"")</f>
        <v/>
      </c>
      <c r="O783" s="90"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0"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1"/>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59"/>
      <c r="Z783" s="49"/>
      <c r="AA783" s="37" t="str" cm="1">
        <f t="array" ref="AA783">IFERROR(IF(INDEX(SubsidieTabel!$Q$1:$T$9,MATCH($F783,SubsidieTabel!$Q$1:$Q$9,0),IFERROR(MATCH(Methode_Keuze,SubsidieTabel!$Q$1:$T$1,0),2))&lt;&gt;1=TRUE,"ja",""),"")</f>
        <v/>
      </c>
    </row>
    <row r="784" spans="1:27" ht="15" customHeight="1" x14ac:dyDescent="0.25">
      <c r="A784" s="85"/>
      <c r="B784" s="217" t="str">
        <f>IF(A784&lt;&gt;"",_xlfn.MAXIFS($B$1:B783,$A$1:A783,A784)+1,"")</f>
        <v/>
      </c>
      <c r="C784" s="50"/>
      <c r="D784" s="50"/>
      <c r="E784" s="50"/>
      <c r="F784" s="50"/>
      <c r="G784" s="280"/>
      <c r="H784" s="293"/>
      <c r="I784" s="292"/>
      <c r="J784" s="292"/>
      <c r="K784" s="200"/>
      <c r="L784" s="200"/>
      <c r="M784" s="89" t="str">
        <f>IFERROR(VLOOKUP(H784,Lijsten!$H$1:$I$100,2,0),"")</f>
        <v/>
      </c>
      <c r="N784" s="89" t="str" cm="1">
        <f t="array" ref="N784">IFERROR(_xlfn.IFS(AND(LEFT(F784,6)="Arbeid",RIGHT(F784,3)&lt;&gt;"IKS"),IFERROR(VLOOKUP($G784,Tb_KostenTypen[],2,0),"tarief"),RIGHT(F784,3)="IKS","Uurtarief",LEFT(F784,6)="Arbeid","Uurtarief",AND(LEFT(F784,8)="Bijdrage",RIGHT(F784,15)="(vrijwilligers)"),"Vast tarief"),"")</f>
        <v/>
      </c>
      <c r="O784" s="90"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0"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1"/>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59"/>
      <c r="Z784" s="49"/>
      <c r="AA784" s="37" t="str" cm="1">
        <f t="array" ref="AA784">IFERROR(IF(INDEX(SubsidieTabel!$Q$1:$T$9,MATCH($F784,SubsidieTabel!$Q$1:$Q$9,0),IFERROR(MATCH(Methode_Keuze,SubsidieTabel!$Q$1:$T$1,0),2))&lt;&gt;1=TRUE,"ja",""),"")</f>
        <v/>
      </c>
    </row>
    <row r="785" spans="1:27" ht="15" customHeight="1" x14ac:dyDescent="0.25">
      <c r="A785" s="85"/>
      <c r="B785" s="217" t="str">
        <f>IF(A785&lt;&gt;"",_xlfn.MAXIFS($B$1:B784,$A$1:A784,A785)+1,"")</f>
        <v/>
      </c>
      <c r="C785" s="50"/>
      <c r="D785" s="50"/>
      <c r="E785" s="50"/>
      <c r="F785" s="50"/>
      <c r="G785" s="280"/>
      <c r="H785" s="293"/>
      <c r="I785" s="292"/>
      <c r="J785" s="292"/>
      <c r="K785" s="200"/>
      <c r="L785" s="200"/>
      <c r="M785" s="89" t="str">
        <f>IFERROR(VLOOKUP(H785,Lijsten!$H$1:$I$100,2,0),"")</f>
        <v/>
      </c>
      <c r="N785" s="89" t="str" cm="1">
        <f t="array" ref="N785">IFERROR(_xlfn.IFS(AND(LEFT(F785,6)="Arbeid",RIGHT(F785,3)&lt;&gt;"IKS"),IFERROR(VLOOKUP($G785,Tb_KostenTypen[],2,0),"tarief"),RIGHT(F785,3)="IKS","Uurtarief",LEFT(F785,6)="Arbeid","Uurtarief",AND(LEFT(F785,8)="Bijdrage",RIGHT(F785,15)="(vrijwilligers)"),"Vast tarief"),"")</f>
        <v/>
      </c>
      <c r="O785" s="90"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0"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1"/>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59"/>
      <c r="Z785" s="49"/>
      <c r="AA785" s="37" t="str" cm="1">
        <f t="array" ref="AA785">IFERROR(IF(INDEX(SubsidieTabel!$Q$1:$T$9,MATCH($F785,SubsidieTabel!$Q$1:$Q$9,0),IFERROR(MATCH(Methode_Keuze,SubsidieTabel!$Q$1:$T$1,0),2))&lt;&gt;1=TRUE,"ja",""),"")</f>
        <v/>
      </c>
    </row>
    <row r="786" spans="1:27" ht="15" customHeight="1" x14ac:dyDescent="0.25">
      <c r="A786" s="85"/>
      <c r="B786" s="217" t="str">
        <f>IF(A786&lt;&gt;"",_xlfn.MAXIFS($B$1:B785,$A$1:A785,A786)+1,"")</f>
        <v/>
      </c>
      <c r="C786" s="50"/>
      <c r="D786" s="50"/>
      <c r="E786" s="50"/>
      <c r="F786" s="50"/>
      <c r="G786" s="280"/>
      <c r="H786" s="293"/>
      <c r="I786" s="292"/>
      <c r="J786" s="292"/>
      <c r="K786" s="200"/>
      <c r="L786" s="200"/>
      <c r="M786" s="89" t="str">
        <f>IFERROR(VLOOKUP(H786,Lijsten!$H$1:$I$100,2,0),"")</f>
        <v/>
      </c>
      <c r="N786" s="89" t="str" cm="1">
        <f t="array" ref="N786">IFERROR(_xlfn.IFS(AND(LEFT(F786,6)="Arbeid",RIGHT(F786,3)&lt;&gt;"IKS"),IFERROR(VLOOKUP($G786,Tb_KostenTypen[],2,0),"tarief"),RIGHT(F786,3)="IKS","Uurtarief",LEFT(F786,6)="Arbeid","Uurtarief",AND(LEFT(F786,8)="Bijdrage",RIGHT(F786,15)="(vrijwilligers)"),"Vast tarief"),"")</f>
        <v/>
      </c>
      <c r="O786" s="90"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0"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1"/>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59"/>
      <c r="Z786" s="49"/>
      <c r="AA786" s="37" t="str" cm="1">
        <f t="array" ref="AA786">IFERROR(IF(INDEX(SubsidieTabel!$Q$1:$T$9,MATCH($F786,SubsidieTabel!$Q$1:$Q$9,0),IFERROR(MATCH(Methode_Keuze,SubsidieTabel!$Q$1:$T$1,0),2))&lt;&gt;1=TRUE,"ja",""),"")</f>
        <v/>
      </c>
    </row>
    <row r="787" spans="1:27" ht="15" customHeight="1" x14ac:dyDescent="0.25">
      <c r="A787" s="85"/>
      <c r="B787" s="217" t="str">
        <f>IF(A787&lt;&gt;"",_xlfn.MAXIFS($B$1:B786,$A$1:A786,A787)+1,"")</f>
        <v/>
      </c>
      <c r="C787" s="50"/>
      <c r="D787" s="50"/>
      <c r="E787" s="50"/>
      <c r="F787" s="50"/>
      <c r="G787" s="280"/>
      <c r="H787" s="293"/>
      <c r="I787" s="292"/>
      <c r="J787" s="292"/>
      <c r="K787" s="200"/>
      <c r="L787" s="200"/>
      <c r="M787" s="89" t="str">
        <f>IFERROR(VLOOKUP(H787,Lijsten!$H$1:$I$100,2,0),"")</f>
        <v/>
      </c>
      <c r="N787" s="89" t="str" cm="1">
        <f t="array" ref="N787">IFERROR(_xlfn.IFS(AND(LEFT(F787,6)="Arbeid",RIGHT(F787,3)&lt;&gt;"IKS"),IFERROR(VLOOKUP($G787,Tb_KostenTypen[],2,0),"tarief"),RIGHT(F787,3)="IKS","Uurtarief",LEFT(F787,6)="Arbeid","Uurtarief",AND(LEFT(F787,8)="Bijdrage",RIGHT(F787,15)="(vrijwilligers)"),"Vast tarief"),"")</f>
        <v/>
      </c>
      <c r="O787" s="90"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0"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1"/>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59"/>
      <c r="Z787" s="49"/>
      <c r="AA787" s="37" t="str" cm="1">
        <f t="array" ref="AA787">IFERROR(IF(INDEX(SubsidieTabel!$Q$1:$T$9,MATCH($F787,SubsidieTabel!$Q$1:$Q$9,0),IFERROR(MATCH(Methode_Keuze,SubsidieTabel!$Q$1:$T$1,0),2))&lt;&gt;1=TRUE,"ja",""),"")</f>
        <v/>
      </c>
    </row>
    <row r="788" spans="1:27" ht="15" customHeight="1" x14ac:dyDescent="0.25">
      <c r="A788" s="85"/>
      <c r="B788" s="217" t="str">
        <f>IF(A788&lt;&gt;"",_xlfn.MAXIFS($B$1:B787,$A$1:A787,A788)+1,"")</f>
        <v/>
      </c>
      <c r="C788" s="50"/>
      <c r="D788" s="50"/>
      <c r="E788" s="50"/>
      <c r="F788" s="50"/>
      <c r="G788" s="280"/>
      <c r="H788" s="293"/>
      <c r="I788" s="292"/>
      <c r="J788" s="292"/>
      <c r="K788" s="200"/>
      <c r="L788" s="200"/>
      <c r="M788" s="89" t="str">
        <f>IFERROR(VLOOKUP(H788,Lijsten!$H$1:$I$100,2,0),"")</f>
        <v/>
      </c>
      <c r="N788" s="89" t="str" cm="1">
        <f t="array" ref="N788">IFERROR(_xlfn.IFS(AND(LEFT(F788,6)="Arbeid",RIGHT(F788,3)&lt;&gt;"IKS"),IFERROR(VLOOKUP($G788,Tb_KostenTypen[],2,0),"tarief"),RIGHT(F788,3)="IKS","Uurtarief",LEFT(F788,6)="Arbeid","Uurtarief",AND(LEFT(F788,8)="Bijdrage",RIGHT(F788,15)="(vrijwilligers)"),"Vast tarief"),"")</f>
        <v/>
      </c>
      <c r="O788" s="90"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0"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1"/>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59"/>
      <c r="Z788" s="49"/>
      <c r="AA788" s="37" t="str" cm="1">
        <f t="array" ref="AA788">IFERROR(IF(INDEX(SubsidieTabel!$Q$1:$T$9,MATCH($F788,SubsidieTabel!$Q$1:$Q$9,0),IFERROR(MATCH(Methode_Keuze,SubsidieTabel!$Q$1:$T$1,0),2))&lt;&gt;1=TRUE,"ja",""),"")</f>
        <v/>
      </c>
    </row>
    <row r="789" spans="1:27" ht="15" customHeight="1" x14ac:dyDescent="0.25">
      <c r="A789" s="85"/>
      <c r="B789" s="217" t="str">
        <f>IF(A789&lt;&gt;"",_xlfn.MAXIFS($B$1:B788,$A$1:A788,A789)+1,"")</f>
        <v/>
      </c>
      <c r="C789" s="50"/>
      <c r="D789" s="50"/>
      <c r="E789" s="50"/>
      <c r="F789" s="50"/>
      <c r="G789" s="280"/>
      <c r="H789" s="293"/>
      <c r="I789" s="292"/>
      <c r="J789" s="292"/>
      <c r="K789" s="200"/>
      <c r="L789" s="200"/>
      <c r="M789" s="89" t="str">
        <f>IFERROR(VLOOKUP(H789,Lijsten!$H$1:$I$100,2,0),"")</f>
        <v/>
      </c>
      <c r="N789" s="89" t="str" cm="1">
        <f t="array" ref="N789">IFERROR(_xlfn.IFS(AND(LEFT(F789,6)="Arbeid",RIGHT(F789,3)&lt;&gt;"IKS"),IFERROR(VLOOKUP($G789,Tb_KostenTypen[],2,0),"tarief"),RIGHT(F789,3)="IKS","Uurtarief",LEFT(F789,6)="Arbeid","Uurtarief",AND(LEFT(F789,8)="Bijdrage",RIGHT(F789,15)="(vrijwilligers)"),"Vast tarief"),"")</f>
        <v/>
      </c>
      <c r="O789" s="90"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0"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1"/>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59"/>
      <c r="Z789" s="49"/>
      <c r="AA789" s="37" t="str" cm="1">
        <f t="array" ref="AA789">IFERROR(IF(INDEX(SubsidieTabel!$Q$1:$T$9,MATCH($F789,SubsidieTabel!$Q$1:$Q$9,0),IFERROR(MATCH(Methode_Keuze,SubsidieTabel!$Q$1:$T$1,0),2))&lt;&gt;1=TRUE,"ja",""),"")</f>
        <v/>
      </c>
    </row>
    <row r="790" spans="1:27" ht="15" customHeight="1" x14ac:dyDescent="0.25">
      <c r="A790" s="85"/>
      <c r="B790" s="217" t="str">
        <f>IF(A790&lt;&gt;"",_xlfn.MAXIFS($B$1:B789,$A$1:A789,A790)+1,"")</f>
        <v/>
      </c>
      <c r="C790" s="50"/>
      <c r="D790" s="50"/>
      <c r="E790" s="50"/>
      <c r="F790" s="50"/>
      <c r="G790" s="280"/>
      <c r="H790" s="293"/>
      <c r="I790" s="292"/>
      <c r="J790" s="292"/>
      <c r="K790" s="200"/>
      <c r="L790" s="200"/>
      <c r="M790" s="89" t="str">
        <f>IFERROR(VLOOKUP(H790,Lijsten!$H$1:$I$100,2,0),"")</f>
        <v/>
      </c>
      <c r="N790" s="89" t="str" cm="1">
        <f t="array" ref="N790">IFERROR(_xlfn.IFS(AND(LEFT(F790,6)="Arbeid",RIGHT(F790,3)&lt;&gt;"IKS"),IFERROR(VLOOKUP($G790,Tb_KostenTypen[],2,0),"tarief"),RIGHT(F790,3)="IKS","Uurtarief",LEFT(F790,6)="Arbeid","Uurtarief",AND(LEFT(F790,8)="Bijdrage",RIGHT(F790,15)="(vrijwilligers)"),"Vast tarief"),"")</f>
        <v/>
      </c>
      <c r="O790" s="90"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0"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1"/>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59"/>
      <c r="Z790" s="49"/>
      <c r="AA790" s="37" t="str" cm="1">
        <f t="array" ref="AA790">IFERROR(IF(INDEX(SubsidieTabel!$Q$1:$T$9,MATCH($F790,SubsidieTabel!$Q$1:$Q$9,0),IFERROR(MATCH(Methode_Keuze,SubsidieTabel!$Q$1:$T$1,0),2))&lt;&gt;1=TRUE,"ja",""),"")</f>
        <v/>
      </c>
    </row>
    <row r="791" spans="1:27" ht="15" customHeight="1" x14ac:dyDescent="0.25">
      <c r="A791" s="85"/>
      <c r="B791" s="217" t="str">
        <f>IF(A791&lt;&gt;"",_xlfn.MAXIFS($B$1:B790,$A$1:A790,A791)+1,"")</f>
        <v/>
      </c>
      <c r="C791" s="50"/>
      <c r="D791" s="50"/>
      <c r="E791" s="50"/>
      <c r="F791" s="50"/>
      <c r="G791" s="280"/>
      <c r="H791" s="293"/>
      <c r="I791" s="292"/>
      <c r="J791" s="292"/>
      <c r="K791" s="200"/>
      <c r="L791" s="200"/>
      <c r="M791" s="89" t="str">
        <f>IFERROR(VLOOKUP(H791,Lijsten!$H$1:$I$100,2,0),"")</f>
        <v/>
      </c>
      <c r="N791" s="89" t="str" cm="1">
        <f t="array" ref="N791">IFERROR(_xlfn.IFS(AND(LEFT(F791,6)="Arbeid",RIGHT(F791,3)&lt;&gt;"IKS"),IFERROR(VLOOKUP($G791,Tb_KostenTypen[],2,0),"tarief"),RIGHT(F791,3)="IKS","Uurtarief",LEFT(F791,6)="Arbeid","Uurtarief",AND(LEFT(F791,8)="Bijdrage",RIGHT(F791,15)="(vrijwilligers)"),"Vast tarief"),"")</f>
        <v/>
      </c>
      <c r="O791" s="90"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0"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1"/>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59"/>
      <c r="Z791" s="49"/>
      <c r="AA791" s="37" t="str" cm="1">
        <f t="array" ref="AA791">IFERROR(IF(INDEX(SubsidieTabel!$Q$1:$T$9,MATCH($F791,SubsidieTabel!$Q$1:$Q$9,0),IFERROR(MATCH(Methode_Keuze,SubsidieTabel!$Q$1:$T$1,0),2))&lt;&gt;1=TRUE,"ja",""),"")</f>
        <v/>
      </c>
    </row>
    <row r="792" spans="1:27" ht="15" customHeight="1" x14ac:dyDescent="0.25">
      <c r="A792" s="85"/>
      <c r="B792" s="217" t="str">
        <f>IF(A792&lt;&gt;"",_xlfn.MAXIFS($B$1:B791,$A$1:A791,A792)+1,"")</f>
        <v/>
      </c>
      <c r="C792" s="50"/>
      <c r="D792" s="50"/>
      <c r="E792" s="50"/>
      <c r="F792" s="50"/>
      <c r="G792" s="280"/>
      <c r="H792" s="293"/>
      <c r="I792" s="292"/>
      <c r="J792" s="292"/>
      <c r="K792" s="200"/>
      <c r="L792" s="200"/>
      <c r="M792" s="89" t="str">
        <f>IFERROR(VLOOKUP(H792,Lijsten!$H$1:$I$100,2,0),"")</f>
        <v/>
      </c>
      <c r="N792" s="89" t="str" cm="1">
        <f t="array" ref="N792">IFERROR(_xlfn.IFS(AND(LEFT(F792,6)="Arbeid",RIGHT(F792,3)&lt;&gt;"IKS"),IFERROR(VLOOKUP($G792,Tb_KostenTypen[],2,0),"tarief"),RIGHT(F792,3)="IKS","Uurtarief",LEFT(F792,6)="Arbeid","Uurtarief",AND(LEFT(F792,8)="Bijdrage",RIGHT(F792,15)="(vrijwilligers)"),"Vast tarief"),"")</f>
        <v/>
      </c>
      <c r="O792" s="90"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0"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1"/>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59"/>
      <c r="Z792" s="49"/>
      <c r="AA792" s="37" t="str" cm="1">
        <f t="array" ref="AA792">IFERROR(IF(INDEX(SubsidieTabel!$Q$1:$T$9,MATCH($F792,SubsidieTabel!$Q$1:$Q$9,0),IFERROR(MATCH(Methode_Keuze,SubsidieTabel!$Q$1:$T$1,0),2))&lt;&gt;1=TRUE,"ja",""),"")</f>
        <v/>
      </c>
    </row>
    <row r="793" spans="1:27" ht="15" customHeight="1" x14ac:dyDescent="0.25">
      <c r="A793" s="85"/>
      <c r="B793" s="217" t="str">
        <f>IF(A793&lt;&gt;"",_xlfn.MAXIFS($B$1:B792,$A$1:A792,A793)+1,"")</f>
        <v/>
      </c>
      <c r="C793" s="50"/>
      <c r="D793" s="50"/>
      <c r="E793" s="50"/>
      <c r="F793" s="50"/>
      <c r="G793" s="280"/>
      <c r="H793" s="293"/>
      <c r="I793" s="292"/>
      <c r="J793" s="292"/>
      <c r="K793" s="200"/>
      <c r="L793" s="200"/>
      <c r="M793" s="89" t="str">
        <f>IFERROR(VLOOKUP(H793,Lijsten!$H$1:$I$100,2,0),"")</f>
        <v/>
      </c>
      <c r="N793" s="89" t="str" cm="1">
        <f t="array" ref="N793">IFERROR(_xlfn.IFS(AND(LEFT(F793,6)="Arbeid",RIGHT(F793,3)&lt;&gt;"IKS"),IFERROR(VLOOKUP($G793,Tb_KostenTypen[],2,0),"tarief"),RIGHT(F793,3)="IKS","Uurtarief",LEFT(F793,6)="Arbeid","Uurtarief",AND(LEFT(F793,8)="Bijdrage",RIGHT(F793,15)="(vrijwilligers)"),"Vast tarief"),"")</f>
        <v/>
      </c>
      <c r="O793" s="90"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0"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1"/>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59"/>
      <c r="Z793" s="49"/>
      <c r="AA793" s="37" t="str" cm="1">
        <f t="array" ref="AA793">IFERROR(IF(INDEX(SubsidieTabel!$Q$1:$T$9,MATCH($F793,SubsidieTabel!$Q$1:$Q$9,0),IFERROR(MATCH(Methode_Keuze,SubsidieTabel!$Q$1:$T$1,0),2))&lt;&gt;1=TRUE,"ja",""),"")</f>
        <v/>
      </c>
    </row>
    <row r="794" spans="1:27" ht="15" customHeight="1" x14ac:dyDescent="0.25">
      <c r="A794" s="85"/>
      <c r="B794" s="217" t="str">
        <f>IF(A794&lt;&gt;"",_xlfn.MAXIFS($B$1:B793,$A$1:A793,A794)+1,"")</f>
        <v/>
      </c>
      <c r="C794" s="50"/>
      <c r="D794" s="50"/>
      <c r="E794" s="50"/>
      <c r="F794" s="50"/>
      <c r="G794" s="280"/>
      <c r="H794" s="293"/>
      <c r="I794" s="292"/>
      <c r="J794" s="292"/>
      <c r="K794" s="200"/>
      <c r="L794" s="200"/>
      <c r="M794" s="89" t="str">
        <f>IFERROR(VLOOKUP(H794,Lijsten!$H$1:$I$100,2,0),"")</f>
        <v/>
      </c>
      <c r="N794" s="89" t="str" cm="1">
        <f t="array" ref="N794">IFERROR(_xlfn.IFS(AND(LEFT(F794,6)="Arbeid",RIGHT(F794,3)&lt;&gt;"IKS"),IFERROR(VLOOKUP($G794,Tb_KostenTypen[],2,0),"tarief"),RIGHT(F794,3)="IKS","Uurtarief",LEFT(F794,6)="Arbeid","Uurtarief",AND(LEFT(F794,8)="Bijdrage",RIGHT(F794,15)="(vrijwilligers)"),"Vast tarief"),"")</f>
        <v/>
      </c>
      <c r="O794" s="90"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0"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1"/>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59"/>
      <c r="Z794" s="49"/>
      <c r="AA794" s="37" t="str" cm="1">
        <f t="array" ref="AA794">IFERROR(IF(INDEX(SubsidieTabel!$Q$1:$T$9,MATCH($F794,SubsidieTabel!$Q$1:$Q$9,0),IFERROR(MATCH(Methode_Keuze,SubsidieTabel!$Q$1:$T$1,0),2))&lt;&gt;1=TRUE,"ja",""),"")</f>
        <v/>
      </c>
    </row>
    <row r="795" spans="1:27" ht="15" customHeight="1" x14ac:dyDescent="0.25">
      <c r="A795" s="85"/>
      <c r="B795" s="217" t="str">
        <f>IF(A795&lt;&gt;"",_xlfn.MAXIFS($B$1:B794,$A$1:A794,A795)+1,"")</f>
        <v/>
      </c>
      <c r="C795" s="50"/>
      <c r="D795" s="50"/>
      <c r="E795" s="50"/>
      <c r="F795" s="50"/>
      <c r="G795" s="280"/>
      <c r="H795" s="293"/>
      <c r="I795" s="292"/>
      <c r="J795" s="292"/>
      <c r="K795" s="200"/>
      <c r="L795" s="200"/>
      <c r="M795" s="89" t="str">
        <f>IFERROR(VLOOKUP(H795,Lijsten!$H$1:$I$100,2,0),"")</f>
        <v/>
      </c>
      <c r="N795" s="89" t="str" cm="1">
        <f t="array" ref="N795">IFERROR(_xlfn.IFS(AND(LEFT(F795,6)="Arbeid",RIGHT(F795,3)&lt;&gt;"IKS"),IFERROR(VLOOKUP($G795,Tb_KostenTypen[],2,0),"tarief"),RIGHT(F795,3)="IKS","Uurtarief",LEFT(F795,6)="Arbeid","Uurtarief",AND(LEFT(F795,8)="Bijdrage",RIGHT(F795,15)="(vrijwilligers)"),"Vast tarief"),"")</f>
        <v/>
      </c>
      <c r="O795" s="90"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0"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1"/>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59"/>
      <c r="Z795" s="49"/>
      <c r="AA795" s="37" t="str" cm="1">
        <f t="array" ref="AA795">IFERROR(IF(INDEX(SubsidieTabel!$Q$1:$T$9,MATCH($F795,SubsidieTabel!$Q$1:$Q$9,0),IFERROR(MATCH(Methode_Keuze,SubsidieTabel!$Q$1:$T$1,0),2))&lt;&gt;1=TRUE,"ja",""),"")</f>
        <v/>
      </c>
    </row>
    <row r="796" spans="1:27" ht="15" customHeight="1" x14ac:dyDescent="0.25">
      <c r="A796" s="85"/>
      <c r="B796" s="217" t="str">
        <f>IF(A796&lt;&gt;"",_xlfn.MAXIFS($B$1:B795,$A$1:A795,A796)+1,"")</f>
        <v/>
      </c>
      <c r="C796" s="50"/>
      <c r="D796" s="50"/>
      <c r="E796" s="50"/>
      <c r="F796" s="50"/>
      <c r="G796" s="280"/>
      <c r="H796" s="293"/>
      <c r="I796" s="292"/>
      <c r="J796" s="292"/>
      <c r="K796" s="200"/>
      <c r="L796" s="200"/>
      <c r="M796" s="89" t="str">
        <f>IFERROR(VLOOKUP(H796,Lijsten!$H$1:$I$100,2,0),"")</f>
        <v/>
      </c>
      <c r="N796" s="89" t="str" cm="1">
        <f t="array" ref="N796">IFERROR(_xlfn.IFS(AND(LEFT(F796,6)="Arbeid",RIGHT(F796,3)&lt;&gt;"IKS"),IFERROR(VLOOKUP($G796,Tb_KostenTypen[],2,0),"tarief"),RIGHT(F796,3)="IKS","Uurtarief",LEFT(F796,6)="Arbeid","Uurtarief",AND(LEFT(F796,8)="Bijdrage",RIGHT(F796,15)="(vrijwilligers)"),"Vast tarief"),"")</f>
        <v/>
      </c>
      <c r="O796" s="90"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0"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1"/>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59"/>
      <c r="Z796" s="49"/>
      <c r="AA796" s="37" t="str" cm="1">
        <f t="array" ref="AA796">IFERROR(IF(INDEX(SubsidieTabel!$Q$1:$T$9,MATCH($F796,SubsidieTabel!$Q$1:$Q$9,0),IFERROR(MATCH(Methode_Keuze,SubsidieTabel!$Q$1:$T$1,0),2))&lt;&gt;1=TRUE,"ja",""),"")</f>
        <v/>
      </c>
    </row>
    <row r="797" spans="1:27" ht="15" customHeight="1" x14ac:dyDescent="0.25">
      <c r="A797" s="85"/>
      <c r="B797" s="217" t="str">
        <f>IF(A797&lt;&gt;"",_xlfn.MAXIFS($B$1:B796,$A$1:A796,A797)+1,"")</f>
        <v/>
      </c>
      <c r="C797" s="50"/>
      <c r="D797" s="50"/>
      <c r="E797" s="50"/>
      <c r="F797" s="50"/>
      <c r="G797" s="280"/>
      <c r="H797" s="293"/>
      <c r="I797" s="292"/>
      <c r="J797" s="292"/>
      <c r="K797" s="200"/>
      <c r="L797" s="200"/>
      <c r="M797" s="89" t="str">
        <f>IFERROR(VLOOKUP(H797,Lijsten!$H$1:$I$100,2,0),"")</f>
        <v/>
      </c>
      <c r="N797" s="89" t="str" cm="1">
        <f t="array" ref="N797">IFERROR(_xlfn.IFS(AND(LEFT(F797,6)="Arbeid",RIGHT(F797,3)&lt;&gt;"IKS"),IFERROR(VLOOKUP($G797,Tb_KostenTypen[],2,0),"tarief"),RIGHT(F797,3)="IKS","Uurtarief",LEFT(F797,6)="Arbeid","Uurtarief",AND(LEFT(F797,8)="Bijdrage",RIGHT(F797,15)="(vrijwilligers)"),"Vast tarief"),"")</f>
        <v/>
      </c>
      <c r="O797" s="90"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0"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1"/>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59"/>
      <c r="Z797" s="49"/>
      <c r="AA797" s="37" t="str" cm="1">
        <f t="array" ref="AA797">IFERROR(IF(INDEX(SubsidieTabel!$Q$1:$T$9,MATCH($F797,SubsidieTabel!$Q$1:$Q$9,0),IFERROR(MATCH(Methode_Keuze,SubsidieTabel!$Q$1:$T$1,0),2))&lt;&gt;1=TRUE,"ja",""),"")</f>
        <v/>
      </c>
    </row>
    <row r="798" spans="1:27" ht="15" customHeight="1" x14ac:dyDescent="0.25">
      <c r="A798" s="85"/>
      <c r="B798" s="217" t="str">
        <f>IF(A798&lt;&gt;"",_xlfn.MAXIFS($B$1:B797,$A$1:A797,A798)+1,"")</f>
        <v/>
      </c>
      <c r="C798" s="50"/>
      <c r="D798" s="50"/>
      <c r="E798" s="50"/>
      <c r="F798" s="50"/>
      <c r="G798" s="280"/>
      <c r="H798" s="293"/>
      <c r="I798" s="292"/>
      <c r="J798" s="292"/>
      <c r="K798" s="200"/>
      <c r="L798" s="200"/>
      <c r="M798" s="89" t="str">
        <f>IFERROR(VLOOKUP(H798,Lijsten!$H$1:$I$100,2,0),"")</f>
        <v/>
      </c>
      <c r="N798" s="89" t="str" cm="1">
        <f t="array" ref="N798">IFERROR(_xlfn.IFS(AND(LEFT(F798,6)="Arbeid",RIGHT(F798,3)&lt;&gt;"IKS"),IFERROR(VLOOKUP($G798,Tb_KostenTypen[],2,0),"tarief"),RIGHT(F798,3)="IKS","Uurtarief",LEFT(F798,6)="Arbeid","Uurtarief",AND(LEFT(F798,8)="Bijdrage",RIGHT(F798,15)="(vrijwilligers)"),"Vast tarief"),"")</f>
        <v/>
      </c>
      <c r="O798" s="90"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0"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1"/>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59"/>
      <c r="Z798" s="49"/>
      <c r="AA798" s="37" t="str" cm="1">
        <f t="array" ref="AA798">IFERROR(IF(INDEX(SubsidieTabel!$Q$1:$T$9,MATCH($F798,SubsidieTabel!$Q$1:$Q$9,0),IFERROR(MATCH(Methode_Keuze,SubsidieTabel!$Q$1:$T$1,0),2))&lt;&gt;1=TRUE,"ja",""),"")</f>
        <v/>
      </c>
    </row>
    <row r="799" spans="1:27" ht="15" customHeight="1" x14ac:dyDescent="0.25">
      <c r="A799" s="85"/>
      <c r="B799" s="217" t="str">
        <f>IF(A799&lt;&gt;"",_xlfn.MAXIFS($B$1:B798,$A$1:A798,A799)+1,"")</f>
        <v/>
      </c>
      <c r="C799" s="50"/>
      <c r="D799" s="50"/>
      <c r="E799" s="50"/>
      <c r="F799" s="50"/>
      <c r="G799" s="280"/>
      <c r="H799" s="293"/>
      <c r="I799" s="292"/>
      <c r="J799" s="292"/>
      <c r="K799" s="200"/>
      <c r="L799" s="200"/>
      <c r="M799" s="89" t="str">
        <f>IFERROR(VLOOKUP(H799,Lijsten!$H$1:$I$100,2,0),"")</f>
        <v/>
      </c>
      <c r="N799" s="89" t="str" cm="1">
        <f t="array" ref="N799">IFERROR(_xlfn.IFS(AND(LEFT(F799,6)="Arbeid",RIGHT(F799,3)&lt;&gt;"IKS"),IFERROR(VLOOKUP($G799,Tb_KostenTypen[],2,0),"tarief"),RIGHT(F799,3)="IKS","Uurtarief",LEFT(F799,6)="Arbeid","Uurtarief",AND(LEFT(F799,8)="Bijdrage",RIGHT(F799,15)="(vrijwilligers)"),"Vast tarief"),"")</f>
        <v/>
      </c>
      <c r="O799" s="90"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0"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1"/>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59"/>
      <c r="Z799" s="49"/>
      <c r="AA799" s="37" t="str" cm="1">
        <f t="array" ref="AA799">IFERROR(IF(INDEX(SubsidieTabel!$Q$1:$T$9,MATCH($F799,SubsidieTabel!$Q$1:$Q$9,0),IFERROR(MATCH(Methode_Keuze,SubsidieTabel!$Q$1:$T$1,0),2))&lt;&gt;1=TRUE,"ja",""),"")</f>
        <v/>
      </c>
    </row>
    <row r="800" spans="1:27" ht="15" customHeight="1" x14ac:dyDescent="0.25">
      <c r="A800" s="85"/>
      <c r="B800" s="217" t="str">
        <f>IF(A800&lt;&gt;"",_xlfn.MAXIFS($B$1:B799,$A$1:A799,A800)+1,"")</f>
        <v/>
      </c>
      <c r="C800" s="50"/>
      <c r="D800" s="50"/>
      <c r="E800" s="50"/>
      <c r="F800" s="50"/>
      <c r="G800" s="280"/>
      <c r="H800" s="293"/>
      <c r="I800" s="292"/>
      <c r="J800" s="292"/>
      <c r="K800" s="200"/>
      <c r="L800" s="200"/>
      <c r="M800" s="89" t="str">
        <f>IFERROR(VLOOKUP(H800,Lijsten!$H$1:$I$100,2,0),"")</f>
        <v/>
      </c>
      <c r="N800" s="89" t="str" cm="1">
        <f t="array" ref="N800">IFERROR(_xlfn.IFS(AND(LEFT(F800,6)="Arbeid",RIGHT(F800,3)&lt;&gt;"IKS"),IFERROR(VLOOKUP($G800,Tb_KostenTypen[],2,0),"tarief"),RIGHT(F800,3)="IKS","Uurtarief",LEFT(F800,6)="Arbeid","Uurtarief",AND(LEFT(F800,8)="Bijdrage",RIGHT(F800,15)="(vrijwilligers)"),"Vast tarief"),"")</f>
        <v/>
      </c>
      <c r="O800" s="90"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0"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1"/>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59"/>
      <c r="Z800" s="49"/>
      <c r="AA800" s="37" t="str" cm="1">
        <f t="array" ref="AA800">IFERROR(IF(INDEX(SubsidieTabel!$Q$1:$T$9,MATCH($F800,SubsidieTabel!$Q$1:$Q$9,0),IFERROR(MATCH(Methode_Keuze,SubsidieTabel!$Q$1:$T$1,0),2))&lt;&gt;1=TRUE,"ja",""),"")</f>
        <v/>
      </c>
    </row>
    <row r="801" spans="1:27" ht="15" customHeight="1" x14ac:dyDescent="0.25">
      <c r="A801" s="85"/>
      <c r="B801" s="217" t="str">
        <f>IF(A801&lt;&gt;"",_xlfn.MAXIFS($B$1:B800,$A$1:A800,A801)+1,"")</f>
        <v/>
      </c>
      <c r="C801" s="50"/>
      <c r="D801" s="50"/>
      <c r="E801" s="50"/>
      <c r="F801" s="50"/>
      <c r="G801" s="280"/>
      <c r="H801" s="293"/>
      <c r="I801" s="292"/>
      <c r="J801" s="292"/>
      <c r="K801" s="200"/>
      <c r="L801" s="200"/>
      <c r="M801" s="89" t="str">
        <f>IFERROR(VLOOKUP(H801,Lijsten!$H$1:$I$100,2,0),"")</f>
        <v/>
      </c>
      <c r="N801" s="89" t="str" cm="1">
        <f t="array" ref="N801">IFERROR(_xlfn.IFS(AND(LEFT(F801,6)="Arbeid",RIGHT(F801,3)&lt;&gt;"IKS"),IFERROR(VLOOKUP($G801,Tb_KostenTypen[],2,0),"tarief"),RIGHT(F801,3)="IKS","Uurtarief",LEFT(F801,6)="Arbeid","Uurtarief",AND(LEFT(F801,8)="Bijdrage",RIGHT(F801,15)="(vrijwilligers)"),"Vast tarief"),"")</f>
        <v/>
      </c>
      <c r="O801" s="90"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0"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1"/>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59"/>
      <c r="Z801" s="49"/>
      <c r="AA801" s="37" t="str" cm="1">
        <f t="array" ref="AA801">IFERROR(IF(INDEX(SubsidieTabel!$Q$1:$T$9,MATCH($F801,SubsidieTabel!$Q$1:$Q$9,0),IFERROR(MATCH(Methode_Keuze,SubsidieTabel!$Q$1:$T$1,0),2))&lt;&gt;1=TRUE,"ja",""),"")</f>
        <v/>
      </c>
    </row>
    <row r="802" spans="1:27" ht="15" customHeight="1" x14ac:dyDescent="0.25">
      <c r="A802" s="85"/>
      <c r="B802" s="217" t="str">
        <f>IF(A802&lt;&gt;"",_xlfn.MAXIFS($B$1:B801,$A$1:A801,A802)+1,"")</f>
        <v/>
      </c>
      <c r="C802" s="50"/>
      <c r="D802" s="50"/>
      <c r="E802" s="50"/>
      <c r="F802" s="50"/>
      <c r="G802" s="280"/>
      <c r="H802" s="293"/>
      <c r="I802" s="292"/>
      <c r="J802" s="292"/>
      <c r="K802" s="200"/>
      <c r="L802" s="200"/>
      <c r="M802" s="89" t="str">
        <f>IFERROR(VLOOKUP(H802,Lijsten!$H$1:$I$100,2,0),"")</f>
        <v/>
      </c>
      <c r="N802" s="89" t="str" cm="1">
        <f t="array" ref="N802">IFERROR(_xlfn.IFS(AND(LEFT(F802,6)="Arbeid",RIGHT(F802,3)&lt;&gt;"IKS"),IFERROR(VLOOKUP($G802,Tb_KostenTypen[],2,0),"tarief"),RIGHT(F802,3)="IKS","Uurtarief",LEFT(F802,6)="Arbeid","Uurtarief",AND(LEFT(F802,8)="Bijdrage",RIGHT(F802,15)="(vrijwilligers)"),"Vast tarief"),"")</f>
        <v/>
      </c>
      <c r="O802" s="90"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0"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1"/>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59"/>
      <c r="Z802" s="49"/>
      <c r="AA802" s="37" t="str" cm="1">
        <f t="array" ref="AA802">IFERROR(IF(INDEX(SubsidieTabel!$Q$1:$T$9,MATCH($F802,SubsidieTabel!$Q$1:$Q$9,0),IFERROR(MATCH(Methode_Keuze,SubsidieTabel!$Q$1:$T$1,0),2))&lt;&gt;1=TRUE,"ja",""),"")</f>
        <v/>
      </c>
    </row>
    <row r="803" spans="1:27" ht="15" customHeight="1" x14ac:dyDescent="0.25">
      <c r="A803" s="85"/>
      <c r="B803" s="217" t="str">
        <f>IF(A803&lt;&gt;"",_xlfn.MAXIFS($B$1:B802,$A$1:A802,A803)+1,"")</f>
        <v/>
      </c>
      <c r="C803" s="50"/>
      <c r="D803" s="50"/>
      <c r="E803" s="50"/>
      <c r="F803" s="50"/>
      <c r="G803" s="280"/>
      <c r="H803" s="293"/>
      <c r="I803" s="292"/>
      <c r="J803" s="292"/>
      <c r="K803" s="200"/>
      <c r="L803" s="200"/>
      <c r="M803" s="89" t="str">
        <f>IFERROR(VLOOKUP(H803,Lijsten!$H$1:$I$100,2,0),"")</f>
        <v/>
      </c>
      <c r="N803" s="89" t="str" cm="1">
        <f t="array" ref="N803">IFERROR(_xlfn.IFS(AND(LEFT(F803,6)="Arbeid",RIGHT(F803,3)&lt;&gt;"IKS"),IFERROR(VLOOKUP($G803,Tb_KostenTypen[],2,0),"tarief"),RIGHT(F803,3)="IKS","Uurtarief",LEFT(F803,6)="Arbeid","Uurtarief",AND(LEFT(F803,8)="Bijdrage",RIGHT(F803,15)="(vrijwilligers)"),"Vast tarief"),"")</f>
        <v/>
      </c>
      <c r="O803" s="90"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0"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1"/>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59"/>
      <c r="Z803" s="49"/>
      <c r="AA803" s="37" t="str" cm="1">
        <f t="array" ref="AA803">IFERROR(IF(INDEX(SubsidieTabel!$Q$1:$T$9,MATCH($F803,SubsidieTabel!$Q$1:$Q$9,0),IFERROR(MATCH(Methode_Keuze,SubsidieTabel!$Q$1:$T$1,0),2))&lt;&gt;1=TRUE,"ja",""),"")</f>
        <v/>
      </c>
    </row>
    <row r="804" spans="1:27" ht="15" customHeight="1" x14ac:dyDescent="0.25">
      <c r="A804" s="85"/>
      <c r="B804" s="217" t="str">
        <f>IF(A804&lt;&gt;"",_xlfn.MAXIFS($B$1:B803,$A$1:A803,A804)+1,"")</f>
        <v/>
      </c>
      <c r="C804" s="50"/>
      <c r="D804" s="50"/>
      <c r="E804" s="50"/>
      <c r="F804" s="50"/>
      <c r="G804" s="280"/>
      <c r="H804" s="293"/>
      <c r="I804" s="292"/>
      <c r="J804" s="292"/>
      <c r="K804" s="200"/>
      <c r="L804" s="200"/>
      <c r="M804" s="89" t="str">
        <f>IFERROR(VLOOKUP(H804,Lijsten!$H$1:$I$100,2,0),"")</f>
        <v/>
      </c>
      <c r="N804" s="89" t="str" cm="1">
        <f t="array" ref="N804">IFERROR(_xlfn.IFS(AND(LEFT(F804,6)="Arbeid",RIGHT(F804,3)&lt;&gt;"IKS"),IFERROR(VLOOKUP($G804,Tb_KostenTypen[],2,0),"tarief"),RIGHT(F804,3)="IKS","Uurtarief",LEFT(F804,6)="Arbeid","Uurtarief",AND(LEFT(F804,8)="Bijdrage",RIGHT(F804,15)="(vrijwilligers)"),"Vast tarief"),"")</f>
        <v/>
      </c>
      <c r="O804" s="90"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0"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1"/>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59"/>
      <c r="Z804" s="49"/>
      <c r="AA804" s="37" t="str" cm="1">
        <f t="array" ref="AA804">IFERROR(IF(INDEX(SubsidieTabel!$Q$1:$T$9,MATCH($F804,SubsidieTabel!$Q$1:$Q$9,0),IFERROR(MATCH(Methode_Keuze,SubsidieTabel!$Q$1:$T$1,0),2))&lt;&gt;1=TRUE,"ja",""),"")</f>
        <v/>
      </c>
    </row>
    <row r="805" spans="1:27" ht="15" customHeight="1" x14ac:dyDescent="0.25">
      <c r="A805" s="85"/>
      <c r="B805" s="217" t="str">
        <f>IF(A805&lt;&gt;"",_xlfn.MAXIFS($B$1:B804,$A$1:A804,A805)+1,"")</f>
        <v/>
      </c>
      <c r="C805" s="50"/>
      <c r="D805" s="50"/>
      <c r="E805" s="50"/>
      <c r="F805" s="50"/>
      <c r="G805" s="280"/>
      <c r="H805" s="293"/>
      <c r="I805" s="292"/>
      <c r="J805" s="292"/>
      <c r="K805" s="200"/>
      <c r="L805" s="200"/>
      <c r="M805" s="89" t="str">
        <f>IFERROR(VLOOKUP(H805,Lijsten!$H$1:$I$100,2,0),"")</f>
        <v/>
      </c>
      <c r="N805" s="89" t="str" cm="1">
        <f t="array" ref="N805">IFERROR(_xlfn.IFS(AND(LEFT(F805,6)="Arbeid",RIGHT(F805,3)&lt;&gt;"IKS"),IFERROR(VLOOKUP($G805,Tb_KostenTypen[],2,0),"tarief"),RIGHT(F805,3)="IKS","Uurtarief",LEFT(F805,6)="Arbeid","Uurtarief",AND(LEFT(F805,8)="Bijdrage",RIGHT(F805,15)="(vrijwilligers)"),"Vast tarief"),"")</f>
        <v/>
      </c>
      <c r="O805" s="90"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0"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1"/>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59"/>
      <c r="Z805" s="49"/>
      <c r="AA805" s="37" t="str" cm="1">
        <f t="array" ref="AA805">IFERROR(IF(INDEX(SubsidieTabel!$Q$1:$T$9,MATCH($F805,SubsidieTabel!$Q$1:$Q$9,0),IFERROR(MATCH(Methode_Keuze,SubsidieTabel!$Q$1:$T$1,0),2))&lt;&gt;1=TRUE,"ja",""),"")</f>
        <v/>
      </c>
    </row>
    <row r="806" spans="1:27" ht="15" customHeight="1" x14ac:dyDescent="0.25">
      <c r="A806" s="85"/>
      <c r="B806" s="217" t="str">
        <f>IF(A806&lt;&gt;"",_xlfn.MAXIFS($B$1:B805,$A$1:A805,A806)+1,"")</f>
        <v/>
      </c>
      <c r="C806" s="50"/>
      <c r="D806" s="50"/>
      <c r="E806" s="50"/>
      <c r="F806" s="50"/>
      <c r="G806" s="280"/>
      <c r="H806" s="293"/>
      <c r="I806" s="292"/>
      <c r="J806" s="292"/>
      <c r="K806" s="200"/>
      <c r="L806" s="200"/>
      <c r="M806" s="89" t="str">
        <f>IFERROR(VLOOKUP(H806,Lijsten!$H$1:$I$100,2,0),"")</f>
        <v/>
      </c>
      <c r="N806" s="89" t="str" cm="1">
        <f t="array" ref="N806">IFERROR(_xlfn.IFS(AND(LEFT(F806,6)="Arbeid",RIGHT(F806,3)&lt;&gt;"IKS"),IFERROR(VLOOKUP($G806,Tb_KostenTypen[],2,0),"tarief"),RIGHT(F806,3)="IKS","Uurtarief",LEFT(F806,6)="Arbeid","Uurtarief",AND(LEFT(F806,8)="Bijdrage",RIGHT(F806,15)="(vrijwilligers)"),"Vast tarief"),"")</f>
        <v/>
      </c>
      <c r="O806" s="90"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0"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1"/>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59"/>
      <c r="Z806" s="49"/>
      <c r="AA806" s="37" t="str" cm="1">
        <f t="array" ref="AA806">IFERROR(IF(INDEX(SubsidieTabel!$Q$1:$T$9,MATCH($F806,SubsidieTabel!$Q$1:$Q$9,0),IFERROR(MATCH(Methode_Keuze,SubsidieTabel!$Q$1:$T$1,0),2))&lt;&gt;1=TRUE,"ja",""),"")</f>
        <v/>
      </c>
    </row>
    <row r="807" spans="1:27" ht="15" customHeight="1" x14ac:dyDescent="0.25">
      <c r="A807" s="85"/>
      <c r="B807" s="217" t="str">
        <f>IF(A807&lt;&gt;"",_xlfn.MAXIFS($B$1:B806,$A$1:A806,A807)+1,"")</f>
        <v/>
      </c>
      <c r="C807" s="50"/>
      <c r="D807" s="50"/>
      <c r="E807" s="50"/>
      <c r="F807" s="50"/>
      <c r="G807" s="280"/>
      <c r="H807" s="293"/>
      <c r="I807" s="292"/>
      <c r="J807" s="292"/>
      <c r="K807" s="200"/>
      <c r="L807" s="200"/>
      <c r="M807" s="89" t="str">
        <f>IFERROR(VLOOKUP(H807,Lijsten!$H$1:$I$100,2,0),"")</f>
        <v/>
      </c>
      <c r="N807" s="89" t="str" cm="1">
        <f t="array" ref="N807">IFERROR(_xlfn.IFS(AND(LEFT(F807,6)="Arbeid",RIGHT(F807,3)&lt;&gt;"IKS"),IFERROR(VLOOKUP($G807,Tb_KostenTypen[],2,0),"tarief"),RIGHT(F807,3)="IKS","Uurtarief",LEFT(F807,6)="Arbeid","Uurtarief",AND(LEFT(F807,8)="Bijdrage",RIGHT(F807,15)="(vrijwilligers)"),"Vast tarief"),"")</f>
        <v/>
      </c>
      <c r="O807" s="90"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0"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1"/>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59"/>
      <c r="Z807" s="49"/>
      <c r="AA807" s="37" t="str" cm="1">
        <f t="array" ref="AA807">IFERROR(IF(INDEX(SubsidieTabel!$Q$1:$T$9,MATCH($F807,SubsidieTabel!$Q$1:$Q$9,0),IFERROR(MATCH(Methode_Keuze,SubsidieTabel!$Q$1:$T$1,0),2))&lt;&gt;1=TRUE,"ja",""),"")</f>
        <v/>
      </c>
    </row>
    <row r="808" spans="1:27" ht="15" customHeight="1" x14ac:dyDescent="0.25">
      <c r="A808" s="85"/>
      <c r="B808" s="217" t="str">
        <f>IF(A808&lt;&gt;"",_xlfn.MAXIFS($B$1:B807,$A$1:A807,A808)+1,"")</f>
        <v/>
      </c>
      <c r="C808" s="50"/>
      <c r="D808" s="50"/>
      <c r="E808" s="50"/>
      <c r="F808" s="50"/>
      <c r="G808" s="280"/>
      <c r="H808" s="293"/>
      <c r="I808" s="292"/>
      <c r="J808" s="292"/>
      <c r="K808" s="200"/>
      <c r="L808" s="200"/>
      <c r="M808" s="89" t="str">
        <f>IFERROR(VLOOKUP(H808,Lijsten!$H$1:$I$100,2,0),"")</f>
        <v/>
      </c>
      <c r="N808" s="89" t="str" cm="1">
        <f t="array" ref="N808">IFERROR(_xlfn.IFS(AND(LEFT(F808,6)="Arbeid",RIGHT(F808,3)&lt;&gt;"IKS"),IFERROR(VLOOKUP($G808,Tb_KostenTypen[],2,0),"tarief"),RIGHT(F808,3)="IKS","Uurtarief",LEFT(F808,6)="Arbeid","Uurtarief",AND(LEFT(F808,8)="Bijdrage",RIGHT(F808,15)="(vrijwilligers)"),"Vast tarief"),"")</f>
        <v/>
      </c>
      <c r="O808" s="90"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0"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1"/>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59"/>
      <c r="Z808" s="49"/>
      <c r="AA808" s="37" t="str" cm="1">
        <f t="array" ref="AA808">IFERROR(IF(INDEX(SubsidieTabel!$Q$1:$T$9,MATCH($F808,SubsidieTabel!$Q$1:$Q$9,0),IFERROR(MATCH(Methode_Keuze,SubsidieTabel!$Q$1:$T$1,0),2))&lt;&gt;1=TRUE,"ja",""),"")</f>
        <v/>
      </c>
    </row>
    <row r="809" spans="1:27" ht="15" customHeight="1" x14ac:dyDescent="0.25">
      <c r="A809" s="85"/>
      <c r="B809" s="217" t="str">
        <f>IF(A809&lt;&gt;"",_xlfn.MAXIFS($B$1:B808,$A$1:A808,A809)+1,"")</f>
        <v/>
      </c>
      <c r="C809" s="50"/>
      <c r="D809" s="50"/>
      <c r="E809" s="50"/>
      <c r="F809" s="50"/>
      <c r="G809" s="280"/>
      <c r="H809" s="293"/>
      <c r="I809" s="292"/>
      <c r="J809" s="292"/>
      <c r="K809" s="200"/>
      <c r="L809" s="200"/>
      <c r="M809" s="89" t="str">
        <f>IFERROR(VLOOKUP(H809,Lijsten!$H$1:$I$100,2,0),"")</f>
        <v/>
      </c>
      <c r="N809" s="89" t="str" cm="1">
        <f t="array" ref="N809">IFERROR(_xlfn.IFS(AND(LEFT(F809,6)="Arbeid",RIGHT(F809,3)&lt;&gt;"IKS"),IFERROR(VLOOKUP($G809,Tb_KostenTypen[],2,0),"tarief"),RIGHT(F809,3)="IKS","Uurtarief",LEFT(F809,6)="Arbeid","Uurtarief",AND(LEFT(F809,8)="Bijdrage",RIGHT(F809,15)="(vrijwilligers)"),"Vast tarief"),"")</f>
        <v/>
      </c>
      <c r="O809" s="90"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0"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1"/>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59"/>
      <c r="Z809" s="49"/>
      <c r="AA809" s="37" t="str" cm="1">
        <f t="array" ref="AA809">IFERROR(IF(INDEX(SubsidieTabel!$Q$1:$T$9,MATCH($F809,SubsidieTabel!$Q$1:$Q$9,0),IFERROR(MATCH(Methode_Keuze,SubsidieTabel!$Q$1:$T$1,0),2))&lt;&gt;1=TRUE,"ja",""),"")</f>
        <v/>
      </c>
    </row>
    <row r="810" spans="1:27" ht="15" customHeight="1" x14ac:dyDescent="0.25">
      <c r="A810" s="85"/>
      <c r="B810" s="217" t="str">
        <f>IF(A810&lt;&gt;"",_xlfn.MAXIFS($B$1:B809,$A$1:A809,A810)+1,"")</f>
        <v/>
      </c>
      <c r="C810" s="50"/>
      <c r="D810" s="50"/>
      <c r="E810" s="50"/>
      <c r="F810" s="50"/>
      <c r="G810" s="280"/>
      <c r="H810" s="293"/>
      <c r="I810" s="292"/>
      <c r="J810" s="292"/>
      <c r="K810" s="200"/>
      <c r="L810" s="200"/>
      <c r="M810" s="89" t="str">
        <f>IFERROR(VLOOKUP(H810,Lijsten!$H$1:$I$100,2,0),"")</f>
        <v/>
      </c>
      <c r="N810" s="89" t="str" cm="1">
        <f t="array" ref="N810">IFERROR(_xlfn.IFS(AND(LEFT(F810,6)="Arbeid",RIGHT(F810,3)&lt;&gt;"IKS"),IFERROR(VLOOKUP($G810,Tb_KostenTypen[],2,0),"tarief"),RIGHT(F810,3)="IKS","Uurtarief",LEFT(F810,6)="Arbeid","Uurtarief",AND(LEFT(F810,8)="Bijdrage",RIGHT(F810,15)="(vrijwilligers)"),"Vast tarief"),"")</f>
        <v/>
      </c>
      <c r="O810" s="90"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0"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1"/>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59"/>
      <c r="Z810" s="49"/>
      <c r="AA810" s="37" t="str" cm="1">
        <f t="array" ref="AA810">IFERROR(IF(INDEX(SubsidieTabel!$Q$1:$T$9,MATCH($F810,SubsidieTabel!$Q$1:$Q$9,0),IFERROR(MATCH(Methode_Keuze,SubsidieTabel!$Q$1:$T$1,0),2))&lt;&gt;1=TRUE,"ja",""),"")</f>
        <v/>
      </c>
    </row>
    <row r="811" spans="1:27" ht="15" customHeight="1" x14ac:dyDescent="0.25">
      <c r="A811" s="85"/>
      <c r="B811" s="217" t="str">
        <f>IF(A811&lt;&gt;"",_xlfn.MAXIFS($B$1:B810,$A$1:A810,A811)+1,"")</f>
        <v/>
      </c>
      <c r="C811" s="50"/>
      <c r="D811" s="50"/>
      <c r="E811" s="50"/>
      <c r="F811" s="50"/>
      <c r="G811" s="280"/>
      <c r="H811" s="293"/>
      <c r="I811" s="292"/>
      <c r="J811" s="292"/>
      <c r="K811" s="200"/>
      <c r="L811" s="200"/>
      <c r="M811" s="89" t="str">
        <f>IFERROR(VLOOKUP(H811,Lijsten!$H$1:$I$100,2,0),"")</f>
        <v/>
      </c>
      <c r="N811" s="89" t="str" cm="1">
        <f t="array" ref="N811">IFERROR(_xlfn.IFS(AND(LEFT(F811,6)="Arbeid",RIGHT(F811,3)&lt;&gt;"IKS"),IFERROR(VLOOKUP($G811,Tb_KostenTypen[],2,0),"tarief"),RIGHT(F811,3)="IKS","Uurtarief",LEFT(F811,6)="Arbeid","Uurtarief",AND(LEFT(F811,8)="Bijdrage",RIGHT(F811,15)="(vrijwilligers)"),"Vast tarief"),"")</f>
        <v/>
      </c>
      <c r="O811" s="90"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0"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1"/>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59"/>
      <c r="Z811" s="49"/>
      <c r="AA811" s="37" t="str" cm="1">
        <f t="array" ref="AA811">IFERROR(IF(INDEX(SubsidieTabel!$Q$1:$T$9,MATCH($F811,SubsidieTabel!$Q$1:$Q$9,0),IFERROR(MATCH(Methode_Keuze,SubsidieTabel!$Q$1:$T$1,0),2))&lt;&gt;1=TRUE,"ja",""),"")</f>
        <v/>
      </c>
    </row>
    <row r="812" spans="1:27" ht="15" customHeight="1" x14ac:dyDescent="0.25">
      <c r="A812" s="85"/>
      <c r="B812" s="217" t="str">
        <f>IF(A812&lt;&gt;"",_xlfn.MAXIFS($B$1:B811,$A$1:A811,A812)+1,"")</f>
        <v/>
      </c>
      <c r="C812" s="50"/>
      <c r="D812" s="50"/>
      <c r="E812" s="50"/>
      <c r="F812" s="50"/>
      <c r="G812" s="280"/>
      <c r="H812" s="293"/>
      <c r="I812" s="292"/>
      <c r="J812" s="292"/>
      <c r="K812" s="200"/>
      <c r="L812" s="200"/>
      <c r="M812" s="89" t="str">
        <f>IFERROR(VLOOKUP(H812,Lijsten!$H$1:$I$100,2,0),"")</f>
        <v/>
      </c>
      <c r="N812" s="89" t="str" cm="1">
        <f t="array" ref="N812">IFERROR(_xlfn.IFS(AND(LEFT(F812,6)="Arbeid",RIGHT(F812,3)&lt;&gt;"IKS"),IFERROR(VLOOKUP($G812,Tb_KostenTypen[],2,0),"tarief"),RIGHT(F812,3)="IKS","Uurtarief",LEFT(F812,6)="Arbeid","Uurtarief",AND(LEFT(F812,8)="Bijdrage",RIGHT(F812,15)="(vrijwilligers)"),"Vast tarief"),"")</f>
        <v/>
      </c>
      <c r="O812" s="90"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0"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1"/>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59"/>
      <c r="Z812" s="49"/>
      <c r="AA812" s="37" t="str" cm="1">
        <f t="array" ref="AA812">IFERROR(IF(INDEX(SubsidieTabel!$Q$1:$T$9,MATCH($F812,SubsidieTabel!$Q$1:$Q$9,0),IFERROR(MATCH(Methode_Keuze,SubsidieTabel!$Q$1:$T$1,0),2))&lt;&gt;1=TRUE,"ja",""),"")</f>
        <v/>
      </c>
    </row>
    <row r="813" spans="1:27" ht="15" customHeight="1" x14ac:dyDescent="0.25">
      <c r="A813" s="85"/>
      <c r="B813" s="217" t="str">
        <f>IF(A813&lt;&gt;"",_xlfn.MAXIFS($B$1:B812,$A$1:A812,A813)+1,"")</f>
        <v/>
      </c>
      <c r="C813" s="50"/>
      <c r="D813" s="50"/>
      <c r="E813" s="50"/>
      <c r="F813" s="50"/>
      <c r="G813" s="280"/>
      <c r="H813" s="293"/>
      <c r="I813" s="292"/>
      <c r="J813" s="292"/>
      <c r="K813" s="200"/>
      <c r="L813" s="200"/>
      <c r="M813" s="89" t="str">
        <f>IFERROR(VLOOKUP(H813,Lijsten!$H$1:$I$100,2,0),"")</f>
        <v/>
      </c>
      <c r="N813" s="89" t="str" cm="1">
        <f t="array" ref="N813">IFERROR(_xlfn.IFS(AND(LEFT(F813,6)="Arbeid",RIGHT(F813,3)&lt;&gt;"IKS"),IFERROR(VLOOKUP($G813,Tb_KostenTypen[],2,0),"tarief"),RIGHT(F813,3)="IKS","Uurtarief",LEFT(F813,6)="Arbeid","Uurtarief",AND(LEFT(F813,8)="Bijdrage",RIGHT(F813,15)="(vrijwilligers)"),"Vast tarief"),"")</f>
        <v/>
      </c>
      <c r="O813" s="90"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0"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1"/>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59"/>
      <c r="Z813" s="49"/>
      <c r="AA813" s="37" t="str" cm="1">
        <f t="array" ref="AA813">IFERROR(IF(INDEX(SubsidieTabel!$Q$1:$T$9,MATCH($F813,SubsidieTabel!$Q$1:$Q$9,0),IFERROR(MATCH(Methode_Keuze,SubsidieTabel!$Q$1:$T$1,0),2))&lt;&gt;1=TRUE,"ja",""),"")</f>
        <v/>
      </c>
    </row>
    <row r="814" spans="1:27" ht="15" customHeight="1" x14ac:dyDescent="0.25">
      <c r="A814" s="85"/>
      <c r="B814" s="217" t="str">
        <f>IF(A814&lt;&gt;"",_xlfn.MAXIFS($B$1:B813,$A$1:A813,A814)+1,"")</f>
        <v/>
      </c>
      <c r="C814" s="50"/>
      <c r="D814" s="50"/>
      <c r="E814" s="50"/>
      <c r="F814" s="50"/>
      <c r="G814" s="280"/>
      <c r="H814" s="293"/>
      <c r="I814" s="292"/>
      <c r="J814" s="292"/>
      <c r="K814" s="200"/>
      <c r="L814" s="200"/>
      <c r="M814" s="89" t="str">
        <f>IFERROR(VLOOKUP(H814,Lijsten!$H$1:$I$100,2,0),"")</f>
        <v/>
      </c>
      <c r="N814" s="89" t="str" cm="1">
        <f t="array" ref="N814">IFERROR(_xlfn.IFS(AND(LEFT(F814,6)="Arbeid",RIGHT(F814,3)&lt;&gt;"IKS"),IFERROR(VLOOKUP($G814,Tb_KostenTypen[],2,0),"tarief"),RIGHT(F814,3)="IKS","Uurtarief",LEFT(F814,6)="Arbeid","Uurtarief",AND(LEFT(F814,8)="Bijdrage",RIGHT(F814,15)="(vrijwilligers)"),"Vast tarief"),"")</f>
        <v/>
      </c>
      <c r="O814" s="90"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0"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1"/>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59"/>
      <c r="Z814" s="49"/>
      <c r="AA814" s="37" t="str" cm="1">
        <f t="array" ref="AA814">IFERROR(IF(INDEX(SubsidieTabel!$Q$1:$T$9,MATCH($F814,SubsidieTabel!$Q$1:$Q$9,0),IFERROR(MATCH(Methode_Keuze,SubsidieTabel!$Q$1:$T$1,0),2))&lt;&gt;1=TRUE,"ja",""),"")</f>
        <v/>
      </c>
    </row>
    <row r="815" spans="1:27" ht="15" customHeight="1" x14ac:dyDescent="0.25">
      <c r="A815" s="85"/>
      <c r="B815" s="217" t="str">
        <f>IF(A815&lt;&gt;"",_xlfn.MAXIFS($B$1:B814,$A$1:A814,A815)+1,"")</f>
        <v/>
      </c>
      <c r="C815" s="50"/>
      <c r="D815" s="50"/>
      <c r="E815" s="50"/>
      <c r="F815" s="50"/>
      <c r="G815" s="280"/>
      <c r="H815" s="293"/>
      <c r="I815" s="292"/>
      <c r="J815" s="292"/>
      <c r="K815" s="200"/>
      <c r="L815" s="200"/>
      <c r="M815" s="89" t="str">
        <f>IFERROR(VLOOKUP(H815,Lijsten!$H$1:$I$100,2,0),"")</f>
        <v/>
      </c>
      <c r="N815" s="89" t="str" cm="1">
        <f t="array" ref="N815">IFERROR(_xlfn.IFS(AND(LEFT(F815,6)="Arbeid",RIGHT(F815,3)&lt;&gt;"IKS"),IFERROR(VLOOKUP($G815,Tb_KostenTypen[],2,0),"tarief"),RIGHT(F815,3)="IKS","Uurtarief",LEFT(F815,6)="Arbeid","Uurtarief",AND(LEFT(F815,8)="Bijdrage",RIGHT(F815,15)="(vrijwilligers)"),"Vast tarief"),"")</f>
        <v/>
      </c>
      <c r="O815" s="90"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0"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1"/>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59"/>
      <c r="Z815" s="49"/>
      <c r="AA815" s="37" t="str" cm="1">
        <f t="array" ref="AA815">IFERROR(IF(INDEX(SubsidieTabel!$Q$1:$T$9,MATCH($F815,SubsidieTabel!$Q$1:$Q$9,0),IFERROR(MATCH(Methode_Keuze,SubsidieTabel!$Q$1:$T$1,0),2))&lt;&gt;1=TRUE,"ja",""),"")</f>
        <v/>
      </c>
    </row>
    <row r="816" spans="1:27" ht="15" customHeight="1" x14ac:dyDescent="0.25">
      <c r="A816" s="85"/>
      <c r="B816" s="217" t="str">
        <f>IF(A816&lt;&gt;"",_xlfn.MAXIFS($B$1:B815,$A$1:A815,A816)+1,"")</f>
        <v/>
      </c>
      <c r="C816" s="50"/>
      <c r="D816" s="50"/>
      <c r="E816" s="50"/>
      <c r="F816" s="50"/>
      <c r="G816" s="280"/>
      <c r="H816" s="293"/>
      <c r="I816" s="292"/>
      <c r="J816" s="292"/>
      <c r="K816" s="200"/>
      <c r="L816" s="200"/>
      <c r="M816" s="89" t="str">
        <f>IFERROR(VLOOKUP(H816,Lijsten!$H$1:$I$100,2,0),"")</f>
        <v/>
      </c>
      <c r="N816" s="89" t="str" cm="1">
        <f t="array" ref="N816">IFERROR(_xlfn.IFS(AND(LEFT(F816,6)="Arbeid",RIGHT(F816,3)&lt;&gt;"IKS"),IFERROR(VLOOKUP($G816,Tb_KostenTypen[],2,0),"tarief"),RIGHT(F816,3)="IKS","Uurtarief",LEFT(F816,6)="Arbeid","Uurtarief",AND(LEFT(F816,8)="Bijdrage",RIGHT(F816,15)="(vrijwilligers)"),"Vast tarief"),"")</f>
        <v/>
      </c>
      <c r="O816" s="90"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0"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1"/>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59"/>
      <c r="Z816" s="49"/>
      <c r="AA816" s="37" t="str" cm="1">
        <f t="array" ref="AA816">IFERROR(IF(INDEX(SubsidieTabel!$Q$1:$T$9,MATCH($F816,SubsidieTabel!$Q$1:$Q$9,0),IFERROR(MATCH(Methode_Keuze,SubsidieTabel!$Q$1:$T$1,0),2))&lt;&gt;1=TRUE,"ja",""),"")</f>
        <v/>
      </c>
    </row>
    <row r="817" spans="1:27" ht="15" customHeight="1" x14ac:dyDescent="0.25">
      <c r="A817" s="85"/>
      <c r="B817" s="217" t="str">
        <f>IF(A817&lt;&gt;"",_xlfn.MAXIFS($B$1:B816,$A$1:A816,A817)+1,"")</f>
        <v/>
      </c>
      <c r="C817" s="50"/>
      <c r="D817" s="50"/>
      <c r="E817" s="50"/>
      <c r="F817" s="50"/>
      <c r="G817" s="280"/>
      <c r="H817" s="293"/>
      <c r="I817" s="292"/>
      <c r="J817" s="292"/>
      <c r="K817" s="200"/>
      <c r="L817" s="200"/>
      <c r="M817" s="89" t="str">
        <f>IFERROR(VLOOKUP(H817,Lijsten!$H$1:$I$100,2,0),"")</f>
        <v/>
      </c>
      <c r="N817" s="89" t="str" cm="1">
        <f t="array" ref="N817">IFERROR(_xlfn.IFS(AND(LEFT(F817,6)="Arbeid",RIGHT(F817,3)&lt;&gt;"IKS"),IFERROR(VLOOKUP($G817,Tb_KostenTypen[],2,0),"tarief"),RIGHT(F817,3)="IKS","Uurtarief",LEFT(F817,6)="Arbeid","Uurtarief",AND(LEFT(F817,8)="Bijdrage",RIGHT(F817,15)="(vrijwilligers)"),"Vast tarief"),"")</f>
        <v/>
      </c>
      <c r="O817" s="90"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0"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1"/>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59"/>
      <c r="Z817" s="49"/>
      <c r="AA817" s="37" t="str" cm="1">
        <f t="array" ref="AA817">IFERROR(IF(INDEX(SubsidieTabel!$Q$1:$T$9,MATCH($F817,SubsidieTabel!$Q$1:$Q$9,0),IFERROR(MATCH(Methode_Keuze,SubsidieTabel!$Q$1:$T$1,0),2))&lt;&gt;1=TRUE,"ja",""),"")</f>
        <v/>
      </c>
    </row>
    <row r="818" spans="1:27" ht="15" customHeight="1" x14ac:dyDescent="0.25">
      <c r="A818" s="85"/>
      <c r="B818" s="217" t="str">
        <f>IF(A818&lt;&gt;"",_xlfn.MAXIFS($B$1:B817,$A$1:A817,A818)+1,"")</f>
        <v/>
      </c>
      <c r="C818" s="50"/>
      <c r="D818" s="50"/>
      <c r="E818" s="50"/>
      <c r="F818" s="50"/>
      <c r="G818" s="280"/>
      <c r="H818" s="293"/>
      <c r="I818" s="292"/>
      <c r="J818" s="292"/>
      <c r="K818" s="200"/>
      <c r="L818" s="200"/>
      <c r="M818" s="89" t="str">
        <f>IFERROR(VLOOKUP(H818,Lijsten!$H$1:$I$100,2,0),"")</f>
        <v/>
      </c>
      <c r="N818" s="89" t="str" cm="1">
        <f t="array" ref="N818">IFERROR(_xlfn.IFS(AND(LEFT(F818,6)="Arbeid",RIGHT(F818,3)&lt;&gt;"IKS"),IFERROR(VLOOKUP($G818,Tb_KostenTypen[],2,0),"tarief"),RIGHT(F818,3)="IKS","Uurtarief",LEFT(F818,6)="Arbeid","Uurtarief",AND(LEFT(F818,8)="Bijdrage",RIGHT(F818,15)="(vrijwilligers)"),"Vast tarief"),"")</f>
        <v/>
      </c>
      <c r="O818" s="90"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0"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1"/>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59"/>
      <c r="Z818" s="49"/>
      <c r="AA818" s="37" t="str" cm="1">
        <f t="array" ref="AA818">IFERROR(IF(INDEX(SubsidieTabel!$Q$1:$T$9,MATCH($F818,SubsidieTabel!$Q$1:$Q$9,0),IFERROR(MATCH(Methode_Keuze,SubsidieTabel!$Q$1:$T$1,0),2))&lt;&gt;1=TRUE,"ja",""),"")</f>
        <v/>
      </c>
    </row>
    <row r="819" spans="1:27" ht="15" customHeight="1" x14ac:dyDescent="0.25">
      <c r="A819" s="85"/>
      <c r="B819" s="217" t="str">
        <f>IF(A819&lt;&gt;"",_xlfn.MAXIFS($B$1:B818,$A$1:A818,A819)+1,"")</f>
        <v/>
      </c>
      <c r="C819" s="50"/>
      <c r="D819" s="50"/>
      <c r="E819" s="50"/>
      <c r="F819" s="50"/>
      <c r="G819" s="280"/>
      <c r="H819" s="293"/>
      <c r="I819" s="292"/>
      <c r="J819" s="292"/>
      <c r="K819" s="200"/>
      <c r="L819" s="200"/>
      <c r="M819" s="89" t="str">
        <f>IFERROR(VLOOKUP(H819,Lijsten!$H$1:$I$100,2,0),"")</f>
        <v/>
      </c>
      <c r="N819" s="89" t="str" cm="1">
        <f t="array" ref="N819">IFERROR(_xlfn.IFS(AND(LEFT(F819,6)="Arbeid",RIGHT(F819,3)&lt;&gt;"IKS"),IFERROR(VLOOKUP($G819,Tb_KostenTypen[],2,0),"tarief"),RIGHT(F819,3)="IKS","Uurtarief",LEFT(F819,6)="Arbeid","Uurtarief",AND(LEFT(F819,8)="Bijdrage",RIGHT(F819,15)="(vrijwilligers)"),"Vast tarief"),"")</f>
        <v/>
      </c>
      <c r="O819" s="90"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0"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1"/>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59"/>
      <c r="Z819" s="49"/>
      <c r="AA819" s="37" t="str" cm="1">
        <f t="array" ref="AA819">IFERROR(IF(INDEX(SubsidieTabel!$Q$1:$T$9,MATCH($F819,SubsidieTabel!$Q$1:$Q$9,0),IFERROR(MATCH(Methode_Keuze,SubsidieTabel!$Q$1:$T$1,0),2))&lt;&gt;1=TRUE,"ja",""),"")</f>
        <v/>
      </c>
    </row>
    <row r="820" spans="1:27" ht="15" customHeight="1" x14ac:dyDescent="0.25">
      <c r="A820" s="85"/>
      <c r="B820" s="217" t="str">
        <f>IF(A820&lt;&gt;"",_xlfn.MAXIFS($B$1:B819,$A$1:A819,A820)+1,"")</f>
        <v/>
      </c>
      <c r="C820" s="50"/>
      <c r="D820" s="50"/>
      <c r="E820" s="50"/>
      <c r="F820" s="50"/>
      <c r="G820" s="280"/>
      <c r="H820" s="293"/>
      <c r="I820" s="292"/>
      <c r="J820" s="292"/>
      <c r="K820" s="200"/>
      <c r="L820" s="200"/>
      <c r="M820" s="89" t="str">
        <f>IFERROR(VLOOKUP(H820,Lijsten!$H$1:$I$100,2,0),"")</f>
        <v/>
      </c>
      <c r="N820" s="89" t="str" cm="1">
        <f t="array" ref="N820">IFERROR(_xlfn.IFS(AND(LEFT(F820,6)="Arbeid",RIGHT(F820,3)&lt;&gt;"IKS"),IFERROR(VLOOKUP($G820,Tb_KostenTypen[],2,0),"tarief"),RIGHT(F820,3)="IKS","Uurtarief",LEFT(F820,6)="Arbeid","Uurtarief",AND(LEFT(F820,8)="Bijdrage",RIGHT(F820,15)="(vrijwilligers)"),"Vast tarief"),"")</f>
        <v/>
      </c>
      <c r="O820" s="90"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0"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1"/>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59"/>
      <c r="Z820" s="49"/>
      <c r="AA820" s="37" t="str" cm="1">
        <f t="array" ref="AA820">IFERROR(IF(INDEX(SubsidieTabel!$Q$1:$T$9,MATCH($F820,SubsidieTabel!$Q$1:$Q$9,0),IFERROR(MATCH(Methode_Keuze,SubsidieTabel!$Q$1:$T$1,0),2))&lt;&gt;1=TRUE,"ja",""),"")</f>
        <v/>
      </c>
    </row>
    <row r="821" spans="1:27" ht="15" customHeight="1" x14ac:dyDescent="0.25">
      <c r="A821" s="85"/>
      <c r="B821" s="217" t="str">
        <f>IF(A821&lt;&gt;"",_xlfn.MAXIFS($B$1:B820,$A$1:A820,A821)+1,"")</f>
        <v/>
      </c>
      <c r="C821" s="50"/>
      <c r="D821" s="50"/>
      <c r="E821" s="50"/>
      <c r="F821" s="50"/>
      <c r="G821" s="280"/>
      <c r="H821" s="293"/>
      <c r="I821" s="292"/>
      <c r="J821" s="292"/>
      <c r="K821" s="200"/>
      <c r="L821" s="200"/>
      <c r="M821" s="89" t="str">
        <f>IFERROR(VLOOKUP(H821,Lijsten!$H$1:$I$100,2,0),"")</f>
        <v/>
      </c>
      <c r="N821" s="89" t="str" cm="1">
        <f t="array" ref="N821">IFERROR(_xlfn.IFS(AND(LEFT(F821,6)="Arbeid",RIGHT(F821,3)&lt;&gt;"IKS"),IFERROR(VLOOKUP($G821,Tb_KostenTypen[],2,0),"tarief"),RIGHT(F821,3)="IKS","Uurtarief",LEFT(F821,6)="Arbeid","Uurtarief",AND(LEFT(F821,8)="Bijdrage",RIGHT(F821,15)="(vrijwilligers)"),"Vast tarief"),"")</f>
        <v/>
      </c>
      <c r="O821" s="90"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0"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1"/>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59"/>
      <c r="Z821" s="49"/>
      <c r="AA821" s="37" t="str" cm="1">
        <f t="array" ref="AA821">IFERROR(IF(INDEX(SubsidieTabel!$Q$1:$T$9,MATCH($F821,SubsidieTabel!$Q$1:$Q$9,0),IFERROR(MATCH(Methode_Keuze,SubsidieTabel!$Q$1:$T$1,0),2))&lt;&gt;1=TRUE,"ja",""),"")</f>
        <v/>
      </c>
    </row>
    <row r="822" spans="1:27" ht="15" customHeight="1" x14ac:dyDescent="0.25">
      <c r="A822" s="85"/>
      <c r="B822" s="217" t="str">
        <f>IF(A822&lt;&gt;"",_xlfn.MAXIFS($B$1:B821,$A$1:A821,A822)+1,"")</f>
        <v/>
      </c>
      <c r="C822" s="50"/>
      <c r="D822" s="50"/>
      <c r="E822" s="50"/>
      <c r="F822" s="50"/>
      <c r="G822" s="280"/>
      <c r="H822" s="293"/>
      <c r="I822" s="292"/>
      <c r="J822" s="292"/>
      <c r="K822" s="200"/>
      <c r="L822" s="200"/>
      <c r="M822" s="89" t="str">
        <f>IFERROR(VLOOKUP(H822,Lijsten!$H$1:$I$100,2,0),"")</f>
        <v/>
      </c>
      <c r="N822" s="89" t="str" cm="1">
        <f t="array" ref="N822">IFERROR(_xlfn.IFS(AND(LEFT(F822,6)="Arbeid",RIGHT(F822,3)&lt;&gt;"IKS"),IFERROR(VLOOKUP($G822,Tb_KostenTypen[],2,0),"tarief"),RIGHT(F822,3)="IKS","Uurtarief",LEFT(F822,6)="Arbeid","Uurtarief",AND(LEFT(F822,8)="Bijdrage",RIGHT(F822,15)="(vrijwilligers)"),"Vast tarief"),"")</f>
        <v/>
      </c>
      <c r="O822" s="90"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0"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1"/>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59"/>
      <c r="Z822" s="49"/>
      <c r="AA822" s="37" t="str" cm="1">
        <f t="array" ref="AA822">IFERROR(IF(INDEX(SubsidieTabel!$Q$1:$T$9,MATCH($F822,SubsidieTabel!$Q$1:$Q$9,0),IFERROR(MATCH(Methode_Keuze,SubsidieTabel!$Q$1:$T$1,0),2))&lt;&gt;1=TRUE,"ja",""),"")</f>
        <v/>
      </c>
    </row>
    <row r="823" spans="1:27" ht="15" customHeight="1" x14ac:dyDescent="0.25">
      <c r="A823" s="85"/>
      <c r="B823" s="217" t="str">
        <f>IF(A823&lt;&gt;"",_xlfn.MAXIFS($B$1:B822,$A$1:A822,A823)+1,"")</f>
        <v/>
      </c>
      <c r="C823" s="50"/>
      <c r="D823" s="50"/>
      <c r="E823" s="50"/>
      <c r="F823" s="50"/>
      <c r="G823" s="280"/>
      <c r="H823" s="293"/>
      <c r="I823" s="292"/>
      <c r="J823" s="292"/>
      <c r="K823" s="200"/>
      <c r="L823" s="200"/>
      <c r="M823" s="89" t="str">
        <f>IFERROR(VLOOKUP(H823,Lijsten!$H$1:$I$100,2,0),"")</f>
        <v/>
      </c>
      <c r="N823" s="89" t="str" cm="1">
        <f t="array" ref="N823">IFERROR(_xlfn.IFS(AND(LEFT(F823,6)="Arbeid",RIGHT(F823,3)&lt;&gt;"IKS"),IFERROR(VLOOKUP($G823,Tb_KostenTypen[],2,0),"tarief"),RIGHT(F823,3)="IKS","Uurtarief",LEFT(F823,6)="Arbeid","Uurtarief",AND(LEFT(F823,8)="Bijdrage",RIGHT(F823,15)="(vrijwilligers)"),"Vast tarief"),"")</f>
        <v/>
      </c>
      <c r="O823" s="90"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0"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1"/>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59"/>
      <c r="Z823" s="49"/>
      <c r="AA823" s="37" t="str" cm="1">
        <f t="array" ref="AA823">IFERROR(IF(INDEX(SubsidieTabel!$Q$1:$T$9,MATCH($F823,SubsidieTabel!$Q$1:$Q$9,0),IFERROR(MATCH(Methode_Keuze,SubsidieTabel!$Q$1:$T$1,0),2))&lt;&gt;1=TRUE,"ja",""),"")</f>
        <v/>
      </c>
    </row>
    <row r="824" spans="1:27" ht="15" customHeight="1" x14ac:dyDescent="0.25">
      <c r="A824" s="85"/>
      <c r="B824" s="217" t="str">
        <f>IF(A824&lt;&gt;"",_xlfn.MAXIFS($B$1:B823,$A$1:A823,A824)+1,"")</f>
        <v/>
      </c>
      <c r="C824" s="50"/>
      <c r="D824" s="50"/>
      <c r="E824" s="50"/>
      <c r="F824" s="50"/>
      <c r="G824" s="280"/>
      <c r="H824" s="293"/>
      <c r="I824" s="292"/>
      <c r="J824" s="292"/>
      <c r="K824" s="200"/>
      <c r="L824" s="200"/>
      <c r="M824" s="89" t="str">
        <f>IFERROR(VLOOKUP(H824,Lijsten!$H$1:$I$100,2,0),"")</f>
        <v/>
      </c>
      <c r="N824" s="89" t="str" cm="1">
        <f t="array" ref="N824">IFERROR(_xlfn.IFS(AND(LEFT(F824,6)="Arbeid",RIGHT(F824,3)&lt;&gt;"IKS"),IFERROR(VLOOKUP($G824,Tb_KostenTypen[],2,0),"tarief"),RIGHT(F824,3)="IKS","Uurtarief",LEFT(F824,6)="Arbeid","Uurtarief",AND(LEFT(F824,8)="Bijdrage",RIGHT(F824,15)="(vrijwilligers)"),"Vast tarief"),"")</f>
        <v/>
      </c>
      <c r="O824" s="90"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0"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1"/>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59"/>
      <c r="Z824" s="49"/>
      <c r="AA824" s="37" t="str" cm="1">
        <f t="array" ref="AA824">IFERROR(IF(INDEX(SubsidieTabel!$Q$1:$T$9,MATCH($F824,SubsidieTabel!$Q$1:$Q$9,0),IFERROR(MATCH(Methode_Keuze,SubsidieTabel!$Q$1:$T$1,0),2))&lt;&gt;1=TRUE,"ja",""),"")</f>
        <v/>
      </c>
    </row>
    <row r="825" spans="1:27" ht="15" customHeight="1" x14ac:dyDescent="0.25">
      <c r="A825" s="85"/>
      <c r="B825" s="217" t="str">
        <f>IF(A825&lt;&gt;"",_xlfn.MAXIFS($B$1:B824,$A$1:A824,A825)+1,"")</f>
        <v/>
      </c>
      <c r="C825" s="50"/>
      <c r="D825" s="50"/>
      <c r="E825" s="50"/>
      <c r="F825" s="50"/>
      <c r="G825" s="280"/>
      <c r="H825" s="293"/>
      <c r="I825" s="292"/>
      <c r="J825" s="292"/>
      <c r="K825" s="200"/>
      <c r="L825" s="200"/>
      <c r="M825" s="89" t="str">
        <f>IFERROR(VLOOKUP(H825,Lijsten!$H$1:$I$100,2,0),"")</f>
        <v/>
      </c>
      <c r="N825" s="89" t="str" cm="1">
        <f t="array" ref="N825">IFERROR(_xlfn.IFS(AND(LEFT(F825,6)="Arbeid",RIGHT(F825,3)&lt;&gt;"IKS"),IFERROR(VLOOKUP($G825,Tb_KostenTypen[],2,0),"tarief"),RIGHT(F825,3)="IKS","Uurtarief",LEFT(F825,6)="Arbeid","Uurtarief",AND(LEFT(F825,8)="Bijdrage",RIGHT(F825,15)="(vrijwilligers)"),"Vast tarief"),"")</f>
        <v/>
      </c>
      <c r="O825" s="90"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0"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1"/>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59"/>
      <c r="Z825" s="49"/>
      <c r="AA825" s="37" t="str" cm="1">
        <f t="array" ref="AA825">IFERROR(IF(INDEX(SubsidieTabel!$Q$1:$T$9,MATCH($F825,SubsidieTabel!$Q$1:$Q$9,0),IFERROR(MATCH(Methode_Keuze,SubsidieTabel!$Q$1:$T$1,0),2))&lt;&gt;1=TRUE,"ja",""),"")</f>
        <v/>
      </c>
    </row>
    <row r="826" spans="1:27" ht="15" customHeight="1" x14ac:dyDescent="0.25">
      <c r="A826" s="85"/>
      <c r="B826" s="217" t="str">
        <f>IF(A826&lt;&gt;"",_xlfn.MAXIFS($B$1:B825,$A$1:A825,A826)+1,"")</f>
        <v/>
      </c>
      <c r="C826" s="50"/>
      <c r="D826" s="50"/>
      <c r="E826" s="50"/>
      <c r="F826" s="50"/>
      <c r="G826" s="280"/>
      <c r="H826" s="293"/>
      <c r="I826" s="292"/>
      <c r="J826" s="292"/>
      <c r="K826" s="200"/>
      <c r="L826" s="200"/>
      <c r="M826" s="89" t="str">
        <f>IFERROR(VLOOKUP(H826,Lijsten!$H$1:$I$100,2,0),"")</f>
        <v/>
      </c>
      <c r="N826" s="89" t="str" cm="1">
        <f t="array" ref="N826">IFERROR(_xlfn.IFS(AND(LEFT(F826,6)="Arbeid",RIGHT(F826,3)&lt;&gt;"IKS"),IFERROR(VLOOKUP($G826,Tb_KostenTypen[],2,0),"tarief"),RIGHT(F826,3)="IKS","Uurtarief",LEFT(F826,6)="Arbeid","Uurtarief",AND(LEFT(F826,8)="Bijdrage",RIGHT(F826,15)="(vrijwilligers)"),"Vast tarief"),"")</f>
        <v/>
      </c>
      <c r="O826" s="90"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0"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1"/>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59"/>
      <c r="Z826" s="49"/>
      <c r="AA826" s="37" t="str" cm="1">
        <f t="array" ref="AA826">IFERROR(IF(INDEX(SubsidieTabel!$Q$1:$T$9,MATCH($F826,SubsidieTabel!$Q$1:$Q$9,0),IFERROR(MATCH(Methode_Keuze,SubsidieTabel!$Q$1:$T$1,0),2))&lt;&gt;1=TRUE,"ja",""),"")</f>
        <v/>
      </c>
    </row>
    <row r="827" spans="1:27" ht="15" customHeight="1" x14ac:dyDescent="0.25">
      <c r="A827" s="85"/>
      <c r="B827" s="217" t="str">
        <f>IF(A827&lt;&gt;"",_xlfn.MAXIFS($B$1:B826,$A$1:A826,A827)+1,"")</f>
        <v/>
      </c>
      <c r="C827" s="50"/>
      <c r="D827" s="50"/>
      <c r="E827" s="50"/>
      <c r="F827" s="50"/>
      <c r="G827" s="280"/>
      <c r="H827" s="293"/>
      <c r="I827" s="292"/>
      <c r="J827" s="292"/>
      <c r="K827" s="200"/>
      <c r="L827" s="200"/>
      <c r="M827" s="89" t="str">
        <f>IFERROR(VLOOKUP(H827,Lijsten!$H$1:$I$100,2,0),"")</f>
        <v/>
      </c>
      <c r="N827" s="89" t="str" cm="1">
        <f t="array" ref="N827">IFERROR(_xlfn.IFS(AND(LEFT(F827,6)="Arbeid",RIGHT(F827,3)&lt;&gt;"IKS"),IFERROR(VLOOKUP($G827,Tb_KostenTypen[],2,0),"tarief"),RIGHT(F827,3)="IKS","Uurtarief",LEFT(F827,6)="Arbeid","Uurtarief",AND(LEFT(F827,8)="Bijdrage",RIGHT(F827,15)="(vrijwilligers)"),"Vast tarief"),"")</f>
        <v/>
      </c>
      <c r="O827" s="90"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0"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1"/>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59"/>
      <c r="Z827" s="49"/>
      <c r="AA827" s="37" t="str" cm="1">
        <f t="array" ref="AA827">IFERROR(IF(INDEX(SubsidieTabel!$Q$1:$T$9,MATCH($F827,SubsidieTabel!$Q$1:$Q$9,0),IFERROR(MATCH(Methode_Keuze,SubsidieTabel!$Q$1:$T$1,0),2))&lt;&gt;1=TRUE,"ja",""),"")</f>
        <v/>
      </c>
    </row>
    <row r="828" spans="1:27" ht="15" customHeight="1" x14ac:dyDescent="0.25">
      <c r="A828" s="85"/>
      <c r="B828" s="217" t="str">
        <f>IF(A828&lt;&gt;"",_xlfn.MAXIFS($B$1:B827,$A$1:A827,A828)+1,"")</f>
        <v/>
      </c>
      <c r="C828" s="50"/>
      <c r="D828" s="50"/>
      <c r="E828" s="50"/>
      <c r="F828" s="50"/>
      <c r="G828" s="280"/>
      <c r="H828" s="293"/>
      <c r="I828" s="292"/>
      <c r="J828" s="292"/>
      <c r="K828" s="200"/>
      <c r="L828" s="200"/>
      <c r="M828" s="89" t="str">
        <f>IFERROR(VLOOKUP(H828,Lijsten!$H$1:$I$100,2,0),"")</f>
        <v/>
      </c>
      <c r="N828" s="89" t="str" cm="1">
        <f t="array" ref="N828">IFERROR(_xlfn.IFS(AND(LEFT(F828,6)="Arbeid",RIGHT(F828,3)&lt;&gt;"IKS"),IFERROR(VLOOKUP($G828,Tb_KostenTypen[],2,0),"tarief"),RIGHT(F828,3)="IKS","Uurtarief",LEFT(F828,6)="Arbeid","Uurtarief",AND(LEFT(F828,8)="Bijdrage",RIGHT(F828,15)="(vrijwilligers)"),"Vast tarief"),"")</f>
        <v/>
      </c>
      <c r="O828" s="90"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0"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1"/>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59"/>
      <c r="Z828" s="49"/>
      <c r="AA828" s="37" t="str" cm="1">
        <f t="array" ref="AA828">IFERROR(IF(INDEX(SubsidieTabel!$Q$1:$T$9,MATCH($F828,SubsidieTabel!$Q$1:$Q$9,0),IFERROR(MATCH(Methode_Keuze,SubsidieTabel!$Q$1:$T$1,0),2))&lt;&gt;1=TRUE,"ja",""),"")</f>
        <v/>
      </c>
    </row>
    <row r="829" spans="1:27" ht="15" customHeight="1" x14ac:dyDescent="0.25">
      <c r="A829" s="85"/>
      <c r="B829" s="217" t="str">
        <f>IF(A829&lt;&gt;"",_xlfn.MAXIFS($B$1:B828,$A$1:A828,A829)+1,"")</f>
        <v/>
      </c>
      <c r="C829" s="50"/>
      <c r="D829" s="50"/>
      <c r="E829" s="50"/>
      <c r="F829" s="50"/>
      <c r="G829" s="280"/>
      <c r="H829" s="293"/>
      <c r="I829" s="292"/>
      <c r="J829" s="292"/>
      <c r="K829" s="200"/>
      <c r="L829" s="200"/>
      <c r="M829" s="89" t="str">
        <f>IFERROR(VLOOKUP(H829,Lijsten!$H$1:$I$100,2,0),"")</f>
        <v/>
      </c>
      <c r="N829" s="89" t="str" cm="1">
        <f t="array" ref="N829">IFERROR(_xlfn.IFS(AND(LEFT(F829,6)="Arbeid",RIGHT(F829,3)&lt;&gt;"IKS"),IFERROR(VLOOKUP($G829,Tb_KostenTypen[],2,0),"tarief"),RIGHT(F829,3)="IKS","Uurtarief",LEFT(F829,6)="Arbeid","Uurtarief",AND(LEFT(F829,8)="Bijdrage",RIGHT(F829,15)="(vrijwilligers)"),"Vast tarief"),"")</f>
        <v/>
      </c>
      <c r="O829" s="90"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0"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1"/>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59"/>
      <c r="Z829" s="49"/>
      <c r="AA829" s="37" t="str" cm="1">
        <f t="array" ref="AA829">IFERROR(IF(INDEX(SubsidieTabel!$Q$1:$T$9,MATCH($F829,SubsidieTabel!$Q$1:$Q$9,0),IFERROR(MATCH(Methode_Keuze,SubsidieTabel!$Q$1:$T$1,0),2))&lt;&gt;1=TRUE,"ja",""),"")</f>
        <v/>
      </c>
    </row>
    <row r="830" spans="1:27" ht="15" customHeight="1" x14ac:dyDescent="0.25">
      <c r="A830" s="85"/>
      <c r="B830" s="217" t="str">
        <f>IF(A830&lt;&gt;"",_xlfn.MAXIFS($B$1:B829,$A$1:A829,A830)+1,"")</f>
        <v/>
      </c>
      <c r="C830" s="50"/>
      <c r="D830" s="50"/>
      <c r="E830" s="50"/>
      <c r="F830" s="50"/>
      <c r="G830" s="280"/>
      <c r="H830" s="293"/>
      <c r="I830" s="292"/>
      <c r="J830" s="292"/>
      <c r="K830" s="200"/>
      <c r="L830" s="200"/>
      <c r="M830" s="89" t="str">
        <f>IFERROR(VLOOKUP(H830,Lijsten!$H$1:$I$100,2,0),"")</f>
        <v/>
      </c>
      <c r="N830" s="89" t="str" cm="1">
        <f t="array" ref="N830">IFERROR(_xlfn.IFS(AND(LEFT(F830,6)="Arbeid",RIGHT(F830,3)&lt;&gt;"IKS"),IFERROR(VLOOKUP($G830,Tb_KostenTypen[],2,0),"tarief"),RIGHT(F830,3)="IKS","Uurtarief",LEFT(F830,6)="Arbeid","Uurtarief",AND(LEFT(F830,8)="Bijdrage",RIGHT(F830,15)="(vrijwilligers)"),"Vast tarief"),"")</f>
        <v/>
      </c>
      <c r="O830" s="90"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0"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1"/>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59"/>
      <c r="Z830" s="49"/>
      <c r="AA830" s="37" t="str" cm="1">
        <f t="array" ref="AA830">IFERROR(IF(INDEX(SubsidieTabel!$Q$1:$T$9,MATCH($F830,SubsidieTabel!$Q$1:$Q$9,0),IFERROR(MATCH(Methode_Keuze,SubsidieTabel!$Q$1:$T$1,0),2))&lt;&gt;1=TRUE,"ja",""),"")</f>
        <v/>
      </c>
    </row>
    <row r="831" spans="1:27" ht="15" customHeight="1" x14ac:dyDescent="0.25">
      <c r="A831" s="85"/>
      <c r="B831" s="217" t="str">
        <f>IF(A831&lt;&gt;"",_xlfn.MAXIFS($B$1:B830,$A$1:A830,A831)+1,"")</f>
        <v/>
      </c>
      <c r="C831" s="50"/>
      <c r="D831" s="50"/>
      <c r="E831" s="50"/>
      <c r="F831" s="50"/>
      <c r="G831" s="280"/>
      <c r="H831" s="293"/>
      <c r="I831" s="292"/>
      <c r="J831" s="292"/>
      <c r="K831" s="200"/>
      <c r="L831" s="200"/>
      <c r="M831" s="89" t="str">
        <f>IFERROR(VLOOKUP(H831,Lijsten!$H$1:$I$100,2,0),"")</f>
        <v/>
      </c>
      <c r="N831" s="89" t="str" cm="1">
        <f t="array" ref="N831">IFERROR(_xlfn.IFS(AND(LEFT(F831,6)="Arbeid",RIGHT(F831,3)&lt;&gt;"IKS"),IFERROR(VLOOKUP($G831,Tb_KostenTypen[],2,0),"tarief"),RIGHT(F831,3)="IKS","Uurtarief",LEFT(F831,6)="Arbeid","Uurtarief",AND(LEFT(F831,8)="Bijdrage",RIGHT(F831,15)="(vrijwilligers)"),"Vast tarief"),"")</f>
        <v/>
      </c>
      <c r="O831" s="90"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0"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1"/>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59"/>
      <c r="Z831" s="49"/>
      <c r="AA831" s="37" t="str" cm="1">
        <f t="array" ref="AA831">IFERROR(IF(INDEX(SubsidieTabel!$Q$1:$T$9,MATCH($F831,SubsidieTabel!$Q$1:$Q$9,0),IFERROR(MATCH(Methode_Keuze,SubsidieTabel!$Q$1:$T$1,0),2))&lt;&gt;1=TRUE,"ja",""),"")</f>
        <v/>
      </c>
    </row>
    <row r="832" spans="1:27" ht="15" customHeight="1" x14ac:dyDescent="0.25">
      <c r="A832" s="85"/>
      <c r="B832" s="217" t="str">
        <f>IF(A832&lt;&gt;"",_xlfn.MAXIFS($B$1:B831,$A$1:A831,A832)+1,"")</f>
        <v/>
      </c>
      <c r="C832" s="50"/>
      <c r="D832" s="50"/>
      <c r="E832" s="50"/>
      <c r="F832" s="50"/>
      <c r="G832" s="280"/>
      <c r="H832" s="293"/>
      <c r="I832" s="292"/>
      <c r="J832" s="292"/>
      <c r="K832" s="200"/>
      <c r="L832" s="200"/>
      <c r="M832" s="89" t="str">
        <f>IFERROR(VLOOKUP(H832,Lijsten!$H$1:$I$100,2,0),"")</f>
        <v/>
      </c>
      <c r="N832" s="89" t="str" cm="1">
        <f t="array" ref="N832">IFERROR(_xlfn.IFS(AND(LEFT(F832,6)="Arbeid",RIGHT(F832,3)&lt;&gt;"IKS"),IFERROR(VLOOKUP($G832,Tb_KostenTypen[],2,0),"tarief"),RIGHT(F832,3)="IKS","Uurtarief",LEFT(F832,6)="Arbeid","Uurtarief",AND(LEFT(F832,8)="Bijdrage",RIGHT(F832,15)="(vrijwilligers)"),"Vast tarief"),"")</f>
        <v/>
      </c>
      <c r="O832" s="90"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0"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1"/>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59"/>
      <c r="Z832" s="49"/>
      <c r="AA832" s="37" t="str" cm="1">
        <f t="array" ref="AA832">IFERROR(IF(INDEX(SubsidieTabel!$Q$1:$T$9,MATCH($F832,SubsidieTabel!$Q$1:$Q$9,0),IFERROR(MATCH(Methode_Keuze,SubsidieTabel!$Q$1:$T$1,0),2))&lt;&gt;1=TRUE,"ja",""),"")</f>
        <v/>
      </c>
    </row>
    <row r="833" spans="1:27" ht="15" customHeight="1" x14ac:dyDescent="0.25">
      <c r="A833" s="85"/>
      <c r="B833" s="217" t="str">
        <f>IF(A833&lt;&gt;"",_xlfn.MAXIFS($B$1:B832,$A$1:A832,A833)+1,"")</f>
        <v/>
      </c>
      <c r="C833" s="50"/>
      <c r="D833" s="50"/>
      <c r="E833" s="50"/>
      <c r="F833" s="50"/>
      <c r="G833" s="280"/>
      <c r="H833" s="293"/>
      <c r="I833" s="292"/>
      <c r="J833" s="292"/>
      <c r="K833" s="200"/>
      <c r="L833" s="200"/>
      <c r="M833" s="89" t="str">
        <f>IFERROR(VLOOKUP(H833,Lijsten!$H$1:$I$100,2,0),"")</f>
        <v/>
      </c>
      <c r="N833" s="89" t="str" cm="1">
        <f t="array" ref="N833">IFERROR(_xlfn.IFS(AND(LEFT(F833,6)="Arbeid",RIGHT(F833,3)&lt;&gt;"IKS"),IFERROR(VLOOKUP($G833,Tb_KostenTypen[],2,0),"tarief"),RIGHT(F833,3)="IKS","Uurtarief",LEFT(F833,6)="Arbeid","Uurtarief",AND(LEFT(F833,8)="Bijdrage",RIGHT(F833,15)="(vrijwilligers)"),"Vast tarief"),"")</f>
        <v/>
      </c>
      <c r="O833" s="90"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0"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1"/>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59"/>
      <c r="Z833" s="49"/>
      <c r="AA833" s="37" t="str" cm="1">
        <f t="array" ref="AA833">IFERROR(IF(INDEX(SubsidieTabel!$Q$1:$T$9,MATCH($F833,SubsidieTabel!$Q$1:$Q$9,0),IFERROR(MATCH(Methode_Keuze,SubsidieTabel!$Q$1:$T$1,0),2))&lt;&gt;1=TRUE,"ja",""),"")</f>
        <v/>
      </c>
    </row>
    <row r="834" spans="1:27" ht="15" customHeight="1" x14ac:dyDescent="0.25">
      <c r="A834" s="85"/>
      <c r="B834" s="217" t="str">
        <f>IF(A834&lt;&gt;"",_xlfn.MAXIFS($B$1:B833,$A$1:A833,A834)+1,"")</f>
        <v/>
      </c>
      <c r="C834" s="50"/>
      <c r="D834" s="50"/>
      <c r="E834" s="50"/>
      <c r="F834" s="50"/>
      <c r="G834" s="280"/>
      <c r="H834" s="293"/>
      <c r="I834" s="292"/>
      <c r="J834" s="292"/>
      <c r="K834" s="200"/>
      <c r="L834" s="200"/>
      <c r="M834" s="89" t="str">
        <f>IFERROR(VLOOKUP(H834,Lijsten!$H$1:$I$100,2,0),"")</f>
        <v/>
      </c>
      <c r="N834" s="89" t="str" cm="1">
        <f t="array" ref="N834">IFERROR(_xlfn.IFS(AND(LEFT(F834,6)="Arbeid",RIGHT(F834,3)&lt;&gt;"IKS"),IFERROR(VLOOKUP($G834,Tb_KostenTypen[],2,0),"tarief"),RIGHT(F834,3)="IKS","Uurtarief",LEFT(F834,6)="Arbeid","Uurtarief",AND(LEFT(F834,8)="Bijdrage",RIGHT(F834,15)="(vrijwilligers)"),"Vast tarief"),"")</f>
        <v/>
      </c>
      <c r="O834" s="90"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0"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1"/>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59"/>
      <c r="Z834" s="49"/>
      <c r="AA834" s="37" t="str" cm="1">
        <f t="array" ref="AA834">IFERROR(IF(INDEX(SubsidieTabel!$Q$1:$T$9,MATCH($F834,SubsidieTabel!$Q$1:$Q$9,0),IFERROR(MATCH(Methode_Keuze,SubsidieTabel!$Q$1:$T$1,0),2))&lt;&gt;1=TRUE,"ja",""),"")</f>
        <v/>
      </c>
    </row>
    <row r="835" spans="1:27" ht="15" customHeight="1" x14ac:dyDescent="0.25">
      <c r="A835" s="85"/>
      <c r="B835" s="217" t="str">
        <f>IF(A835&lt;&gt;"",_xlfn.MAXIFS($B$1:B834,$A$1:A834,A835)+1,"")</f>
        <v/>
      </c>
      <c r="C835" s="50"/>
      <c r="D835" s="50"/>
      <c r="E835" s="50"/>
      <c r="F835" s="50"/>
      <c r="G835" s="280"/>
      <c r="H835" s="293"/>
      <c r="I835" s="292"/>
      <c r="J835" s="292"/>
      <c r="K835" s="200"/>
      <c r="L835" s="200"/>
      <c r="M835" s="89" t="str">
        <f>IFERROR(VLOOKUP(H835,Lijsten!$H$1:$I$100,2,0),"")</f>
        <v/>
      </c>
      <c r="N835" s="89" t="str" cm="1">
        <f t="array" ref="N835">IFERROR(_xlfn.IFS(AND(LEFT(F835,6)="Arbeid",RIGHT(F835,3)&lt;&gt;"IKS"),IFERROR(VLOOKUP($G835,Tb_KostenTypen[],2,0),"tarief"),RIGHT(F835,3)="IKS","Uurtarief",LEFT(F835,6)="Arbeid","Uurtarief",AND(LEFT(F835,8)="Bijdrage",RIGHT(F835,15)="(vrijwilligers)"),"Vast tarief"),"")</f>
        <v/>
      </c>
      <c r="O835" s="90"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0"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1"/>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59"/>
      <c r="Z835" s="49"/>
      <c r="AA835" s="37" t="str" cm="1">
        <f t="array" ref="AA835">IFERROR(IF(INDEX(SubsidieTabel!$Q$1:$T$9,MATCH($F835,SubsidieTabel!$Q$1:$Q$9,0),IFERROR(MATCH(Methode_Keuze,SubsidieTabel!$Q$1:$T$1,0),2))&lt;&gt;1=TRUE,"ja",""),"")</f>
        <v/>
      </c>
    </row>
    <row r="836" spans="1:27" ht="15" customHeight="1" x14ac:dyDescent="0.25">
      <c r="A836" s="85"/>
      <c r="B836" s="217" t="str">
        <f>IF(A836&lt;&gt;"",_xlfn.MAXIFS($B$1:B835,$A$1:A835,A836)+1,"")</f>
        <v/>
      </c>
      <c r="C836" s="50"/>
      <c r="D836" s="50"/>
      <c r="E836" s="50"/>
      <c r="F836" s="50"/>
      <c r="G836" s="280"/>
      <c r="H836" s="293"/>
      <c r="I836" s="292"/>
      <c r="J836" s="292"/>
      <c r="K836" s="200"/>
      <c r="L836" s="200"/>
      <c r="M836" s="89" t="str">
        <f>IFERROR(VLOOKUP(H836,Lijsten!$H$1:$I$100,2,0),"")</f>
        <v/>
      </c>
      <c r="N836" s="89" t="str" cm="1">
        <f t="array" ref="N836">IFERROR(_xlfn.IFS(AND(LEFT(F836,6)="Arbeid",RIGHT(F836,3)&lt;&gt;"IKS"),IFERROR(VLOOKUP($G836,Tb_KostenTypen[],2,0),"tarief"),RIGHT(F836,3)="IKS","Uurtarief",LEFT(F836,6)="Arbeid","Uurtarief",AND(LEFT(F836,8)="Bijdrage",RIGHT(F836,15)="(vrijwilligers)"),"Vast tarief"),"")</f>
        <v/>
      </c>
      <c r="O836" s="90"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0"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1"/>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59"/>
      <c r="Z836" s="49"/>
      <c r="AA836" s="37" t="str" cm="1">
        <f t="array" ref="AA836">IFERROR(IF(INDEX(SubsidieTabel!$Q$1:$T$9,MATCH($F836,SubsidieTabel!$Q$1:$Q$9,0),IFERROR(MATCH(Methode_Keuze,SubsidieTabel!$Q$1:$T$1,0),2))&lt;&gt;1=TRUE,"ja",""),"")</f>
        <v/>
      </c>
    </row>
    <row r="837" spans="1:27" ht="15" customHeight="1" x14ac:dyDescent="0.25">
      <c r="A837" s="85"/>
      <c r="B837" s="217" t="str">
        <f>IF(A837&lt;&gt;"",_xlfn.MAXIFS($B$1:B836,$A$1:A836,A837)+1,"")</f>
        <v/>
      </c>
      <c r="C837" s="50"/>
      <c r="D837" s="50"/>
      <c r="E837" s="50"/>
      <c r="F837" s="50"/>
      <c r="G837" s="280"/>
      <c r="H837" s="293"/>
      <c r="I837" s="292"/>
      <c r="J837" s="292"/>
      <c r="K837" s="200"/>
      <c r="L837" s="200"/>
      <c r="M837" s="89" t="str">
        <f>IFERROR(VLOOKUP(H837,Lijsten!$H$1:$I$100,2,0),"")</f>
        <v/>
      </c>
      <c r="N837" s="89" t="str" cm="1">
        <f t="array" ref="N837">IFERROR(_xlfn.IFS(AND(LEFT(F837,6)="Arbeid",RIGHT(F837,3)&lt;&gt;"IKS"),IFERROR(VLOOKUP($G837,Tb_KostenTypen[],2,0),"tarief"),RIGHT(F837,3)="IKS","Uurtarief",LEFT(F837,6)="Arbeid","Uurtarief",AND(LEFT(F837,8)="Bijdrage",RIGHT(F837,15)="(vrijwilligers)"),"Vast tarief"),"")</f>
        <v/>
      </c>
      <c r="O837" s="90"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0"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1"/>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59"/>
      <c r="Z837" s="49"/>
      <c r="AA837" s="37" t="str" cm="1">
        <f t="array" ref="AA837">IFERROR(IF(INDEX(SubsidieTabel!$Q$1:$T$9,MATCH($F837,SubsidieTabel!$Q$1:$Q$9,0),IFERROR(MATCH(Methode_Keuze,SubsidieTabel!$Q$1:$T$1,0),2))&lt;&gt;1=TRUE,"ja",""),"")</f>
        <v/>
      </c>
    </row>
    <row r="838" spans="1:27" ht="15" customHeight="1" x14ac:dyDescent="0.25">
      <c r="A838" s="85"/>
      <c r="B838" s="217" t="str">
        <f>IF(A838&lt;&gt;"",_xlfn.MAXIFS($B$1:B837,$A$1:A837,A838)+1,"")</f>
        <v/>
      </c>
      <c r="C838" s="50"/>
      <c r="D838" s="50"/>
      <c r="E838" s="50"/>
      <c r="F838" s="50"/>
      <c r="G838" s="280"/>
      <c r="H838" s="293"/>
      <c r="I838" s="292"/>
      <c r="J838" s="292"/>
      <c r="K838" s="200"/>
      <c r="L838" s="200"/>
      <c r="M838" s="89" t="str">
        <f>IFERROR(VLOOKUP(H838,Lijsten!$H$1:$I$100,2,0),"")</f>
        <v/>
      </c>
      <c r="N838" s="89" t="str" cm="1">
        <f t="array" ref="N838">IFERROR(_xlfn.IFS(AND(LEFT(F838,6)="Arbeid",RIGHT(F838,3)&lt;&gt;"IKS"),IFERROR(VLOOKUP($G838,Tb_KostenTypen[],2,0),"tarief"),RIGHT(F838,3)="IKS","Uurtarief",LEFT(F838,6)="Arbeid","Uurtarief",AND(LEFT(F838,8)="Bijdrage",RIGHT(F838,15)="(vrijwilligers)"),"Vast tarief"),"")</f>
        <v/>
      </c>
      <c r="O838" s="90"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0"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1"/>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59"/>
      <c r="Z838" s="49"/>
      <c r="AA838" s="37" t="str" cm="1">
        <f t="array" ref="AA838">IFERROR(IF(INDEX(SubsidieTabel!$Q$1:$T$9,MATCH($F838,SubsidieTabel!$Q$1:$Q$9,0),IFERROR(MATCH(Methode_Keuze,SubsidieTabel!$Q$1:$T$1,0),2))&lt;&gt;1=TRUE,"ja",""),"")</f>
        <v/>
      </c>
    </row>
    <row r="839" spans="1:27" ht="15" customHeight="1" x14ac:dyDescent="0.25">
      <c r="A839" s="85"/>
      <c r="B839" s="217" t="str">
        <f>IF(A839&lt;&gt;"",_xlfn.MAXIFS($B$1:B838,$A$1:A838,A839)+1,"")</f>
        <v/>
      </c>
      <c r="C839" s="50"/>
      <c r="D839" s="50"/>
      <c r="E839" s="50"/>
      <c r="F839" s="50"/>
      <c r="G839" s="280"/>
      <c r="H839" s="293"/>
      <c r="I839" s="292"/>
      <c r="J839" s="292"/>
      <c r="K839" s="200"/>
      <c r="L839" s="200"/>
      <c r="M839" s="89" t="str">
        <f>IFERROR(VLOOKUP(H839,Lijsten!$H$1:$I$100,2,0),"")</f>
        <v/>
      </c>
      <c r="N839" s="89" t="str" cm="1">
        <f t="array" ref="N839">IFERROR(_xlfn.IFS(AND(LEFT(F839,6)="Arbeid",RIGHT(F839,3)&lt;&gt;"IKS"),IFERROR(VLOOKUP($G839,Tb_KostenTypen[],2,0),"tarief"),RIGHT(F839,3)="IKS","Uurtarief",LEFT(F839,6)="Arbeid","Uurtarief",AND(LEFT(F839,8)="Bijdrage",RIGHT(F839,15)="(vrijwilligers)"),"Vast tarief"),"")</f>
        <v/>
      </c>
      <c r="O839" s="90"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0"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1"/>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59"/>
      <c r="Z839" s="49"/>
      <c r="AA839" s="37" t="str" cm="1">
        <f t="array" ref="AA839">IFERROR(IF(INDEX(SubsidieTabel!$Q$1:$T$9,MATCH($F839,SubsidieTabel!$Q$1:$Q$9,0),IFERROR(MATCH(Methode_Keuze,SubsidieTabel!$Q$1:$T$1,0),2))&lt;&gt;1=TRUE,"ja",""),"")</f>
        <v/>
      </c>
    </row>
    <row r="840" spans="1:27" ht="15" customHeight="1" x14ac:dyDescent="0.25">
      <c r="A840" s="85"/>
      <c r="B840" s="217" t="str">
        <f>IF(A840&lt;&gt;"",_xlfn.MAXIFS($B$1:B839,$A$1:A839,A840)+1,"")</f>
        <v/>
      </c>
      <c r="C840" s="50"/>
      <c r="D840" s="50"/>
      <c r="E840" s="50"/>
      <c r="F840" s="50"/>
      <c r="G840" s="280"/>
      <c r="H840" s="293"/>
      <c r="I840" s="292"/>
      <c r="J840" s="292"/>
      <c r="K840" s="200"/>
      <c r="L840" s="200"/>
      <c r="M840" s="89" t="str">
        <f>IFERROR(VLOOKUP(H840,Lijsten!$H$1:$I$100,2,0),"")</f>
        <v/>
      </c>
      <c r="N840" s="89" t="str" cm="1">
        <f t="array" ref="N840">IFERROR(_xlfn.IFS(AND(LEFT(F840,6)="Arbeid",RIGHT(F840,3)&lt;&gt;"IKS"),IFERROR(VLOOKUP($G840,Tb_KostenTypen[],2,0),"tarief"),RIGHT(F840,3)="IKS","Uurtarief",LEFT(F840,6)="Arbeid","Uurtarief",AND(LEFT(F840,8)="Bijdrage",RIGHT(F840,15)="(vrijwilligers)"),"Vast tarief"),"")</f>
        <v/>
      </c>
      <c r="O840" s="90"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0"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1"/>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59"/>
      <c r="Z840" s="49"/>
      <c r="AA840" s="37" t="str" cm="1">
        <f t="array" ref="AA840">IFERROR(IF(INDEX(SubsidieTabel!$Q$1:$T$9,MATCH($F840,SubsidieTabel!$Q$1:$Q$9,0),IFERROR(MATCH(Methode_Keuze,SubsidieTabel!$Q$1:$T$1,0),2))&lt;&gt;1=TRUE,"ja",""),"")</f>
        <v/>
      </c>
    </row>
    <row r="841" spans="1:27" ht="15" customHeight="1" x14ac:dyDescent="0.25">
      <c r="A841" s="85"/>
      <c r="B841" s="217" t="str">
        <f>IF(A841&lt;&gt;"",_xlfn.MAXIFS($B$1:B840,$A$1:A840,A841)+1,"")</f>
        <v/>
      </c>
      <c r="C841" s="50"/>
      <c r="D841" s="50"/>
      <c r="E841" s="50"/>
      <c r="F841" s="50"/>
      <c r="G841" s="280"/>
      <c r="H841" s="293"/>
      <c r="I841" s="292"/>
      <c r="J841" s="292"/>
      <c r="K841" s="200"/>
      <c r="L841" s="200"/>
      <c r="M841" s="89" t="str">
        <f>IFERROR(VLOOKUP(H841,Lijsten!$H$1:$I$100,2,0),"")</f>
        <v/>
      </c>
      <c r="N841" s="89" t="str" cm="1">
        <f t="array" ref="N841">IFERROR(_xlfn.IFS(AND(LEFT(F841,6)="Arbeid",RIGHT(F841,3)&lt;&gt;"IKS"),IFERROR(VLOOKUP($G841,Tb_KostenTypen[],2,0),"tarief"),RIGHT(F841,3)="IKS","Uurtarief",LEFT(F841,6)="Arbeid","Uurtarief",AND(LEFT(F841,8)="Bijdrage",RIGHT(F841,15)="(vrijwilligers)"),"Vast tarief"),"")</f>
        <v/>
      </c>
      <c r="O841" s="90"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0"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1"/>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59"/>
      <c r="Z841" s="49"/>
      <c r="AA841" s="37" t="str" cm="1">
        <f t="array" ref="AA841">IFERROR(IF(INDEX(SubsidieTabel!$Q$1:$T$9,MATCH($F841,SubsidieTabel!$Q$1:$Q$9,0),IFERROR(MATCH(Methode_Keuze,SubsidieTabel!$Q$1:$T$1,0),2))&lt;&gt;1=TRUE,"ja",""),"")</f>
        <v/>
      </c>
    </row>
    <row r="842" spans="1:27" ht="15" customHeight="1" x14ac:dyDescent="0.25">
      <c r="A842" s="85"/>
      <c r="B842" s="217" t="str">
        <f>IF(A842&lt;&gt;"",_xlfn.MAXIFS($B$1:B841,$A$1:A841,A842)+1,"")</f>
        <v/>
      </c>
      <c r="C842" s="50"/>
      <c r="D842" s="50"/>
      <c r="E842" s="50"/>
      <c r="F842" s="50"/>
      <c r="G842" s="280"/>
      <c r="H842" s="293"/>
      <c r="I842" s="292"/>
      <c r="J842" s="292"/>
      <c r="K842" s="200"/>
      <c r="L842" s="200"/>
      <c r="M842" s="89" t="str">
        <f>IFERROR(VLOOKUP(H842,Lijsten!$H$1:$I$100,2,0),"")</f>
        <v/>
      </c>
      <c r="N842" s="89" t="str" cm="1">
        <f t="array" ref="N842">IFERROR(_xlfn.IFS(AND(LEFT(F842,6)="Arbeid",RIGHT(F842,3)&lt;&gt;"IKS"),IFERROR(VLOOKUP($G842,Tb_KostenTypen[],2,0),"tarief"),RIGHT(F842,3)="IKS","Uurtarief",LEFT(F842,6)="Arbeid","Uurtarief",AND(LEFT(F842,8)="Bijdrage",RIGHT(F842,15)="(vrijwilligers)"),"Vast tarief"),"")</f>
        <v/>
      </c>
      <c r="O842" s="90"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0"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1"/>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59"/>
      <c r="Z842" s="49"/>
      <c r="AA842" s="37" t="str" cm="1">
        <f t="array" ref="AA842">IFERROR(IF(INDEX(SubsidieTabel!$Q$1:$T$9,MATCH($F842,SubsidieTabel!$Q$1:$Q$9,0),IFERROR(MATCH(Methode_Keuze,SubsidieTabel!$Q$1:$T$1,0),2))&lt;&gt;1=TRUE,"ja",""),"")</f>
        <v/>
      </c>
    </row>
    <row r="843" spans="1:27" ht="15" customHeight="1" x14ac:dyDescent="0.25">
      <c r="A843" s="85"/>
      <c r="B843" s="217" t="str">
        <f>IF(A843&lt;&gt;"",_xlfn.MAXIFS($B$1:B842,$A$1:A842,A843)+1,"")</f>
        <v/>
      </c>
      <c r="C843" s="50"/>
      <c r="D843" s="50"/>
      <c r="E843" s="50"/>
      <c r="F843" s="50"/>
      <c r="G843" s="280"/>
      <c r="H843" s="293"/>
      <c r="I843" s="292"/>
      <c r="J843" s="292"/>
      <c r="K843" s="200"/>
      <c r="L843" s="200"/>
      <c r="M843" s="89" t="str">
        <f>IFERROR(VLOOKUP(H843,Lijsten!$H$1:$I$100,2,0),"")</f>
        <v/>
      </c>
      <c r="N843" s="89" t="str" cm="1">
        <f t="array" ref="N843">IFERROR(_xlfn.IFS(AND(LEFT(F843,6)="Arbeid",RIGHT(F843,3)&lt;&gt;"IKS"),IFERROR(VLOOKUP($G843,Tb_KostenTypen[],2,0),"tarief"),RIGHT(F843,3)="IKS","Uurtarief",LEFT(F843,6)="Arbeid","Uurtarief",AND(LEFT(F843,8)="Bijdrage",RIGHT(F843,15)="(vrijwilligers)"),"Vast tarief"),"")</f>
        <v/>
      </c>
      <c r="O843" s="90"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0"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1"/>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59"/>
      <c r="Z843" s="49"/>
      <c r="AA843" s="37" t="str" cm="1">
        <f t="array" ref="AA843">IFERROR(IF(INDEX(SubsidieTabel!$Q$1:$T$9,MATCH($F843,SubsidieTabel!$Q$1:$Q$9,0),IFERROR(MATCH(Methode_Keuze,SubsidieTabel!$Q$1:$T$1,0),2))&lt;&gt;1=TRUE,"ja",""),"")</f>
        <v/>
      </c>
    </row>
    <row r="844" spans="1:27" ht="15" customHeight="1" x14ac:dyDescent="0.25">
      <c r="A844" s="85"/>
      <c r="B844" s="217" t="str">
        <f>IF(A844&lt;&gt;"",_xlfn.MAXIFS($B$1:B843,$A$1:A843,A844)+1,"")</f>
        <v/>
      </c>
      <c r="C844" s="50"/>
      <c r="D844" s="50"/>
      <c r="E844" s="50"/>
      <c r="F844" s="50"/>
      <c r="G844" s="280"/>
      <c r="H844" s="293"/>
      <c r="I844" s="292"/>
      <c r="J844" s="292"/>
      <c r="K844" s="200"/>
      <c r="L844" s="200"/>
      <c r="M844" s="89" t="str">
        <f>IFERROR(VLOOKUP(H844,Lijsten!$H$1:$I$100,2,0),"")</f>
        <v/>
      </c>
      <c r="N844" s="89" t="str" cm="1">
        <f t="array" ref="N844">IFERROR(_xlfn.IFS(AND(LEFT(F844,6)="Arbeid",RIGHT(F844,3)&lt;&gt;"IKS"),IFERROR(VLOOKUP($G844,Tb_KostenTypen[],2,0),"tarief"),RIGHT(F844,3)="IKS","Uurtarief",LEFT(F844,6)="Arbeid","Uurtarief",AND(LEFT(F844,8)="Bijdrage",RIGHT(F844,15)="(vrijwilligers)"),"Vast tarief"),"")</f>
        <v/>
      </c>
      <c r="O844" s="90"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0"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1"/>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59"/>
      <c r="Z844" s="49"/>
      <c r="AA844" s="37" t="str" cm="1">
        <f t="array" ref="AA844">IFERROR(IF(INDEX(SubsidieTabel!$Q$1:$T$9,MATCH($F844,SubsidieTabel!$Q$1:$Q$9,0),IFERROR(MATCH(Methode_Keuze,SubsidieTabel!$Q$1:$T$1,0),2))&lt;&gt;1=TRUE,"ja",""),"")</f>
        <v/>
      </c>
    </row>
    <row r="845" spans="1:27" ht="15" customHeight="1" x14ac:dyDescent="0.25">
      <c r="A845" s="85"/>
      <c r="B845" s="217" t="str">
        <f>IF(A845&lt;&gt;"",_xlfn.MAXIFS($B$1:B844,$A$1:A844,A845)+1,"")</f>
        <v/>
      </c>
      <c r="C845" s="50"/>
      <c r="D845" s="50"/>
      <c r="E845" s="50"/>
      <c r="F845" s="50"/>
      <c r="G845" s="280"/>
      <c r="H845" s="293"/>
      <c r="I845" s="292"/>
      <c r="J845" s="292"/>
      <c r="K845" s="200"/>
      <c r="L845" s="200"/>
      <c r="M845" s="89" t="str">
        <f>IFERROR(VLOOKUP(H845,Lijsten!$H$1:$I$100,2,0),"")</f>
        <v/>
      </c>
      <c r="N845" s="89" t="str" cm="1">
        <f t="array" ref="N845">IFERROR(_xlfn.IFS(AND(LEFT(F845,6)="Arbeid",RIGHT(F845,3)&lt;&gt;"IKS"),IFERROR(VLOOKUP($G845,Tb_KostenTypen[],2,0),"tarief"),RIGHT(F845,3)="IKS","Uurtarief",LEFT(F845,6)="Arbeid","Uurtarief",AND(LEFT(F845,8)="Bijdrage",RIGHT(F845,15)="(vrijwilligers)"),"Vast tarief"),"")</f>
        <v/>
      </c>
      <c r="O845" s="90"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0"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1"/>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59"/>
      <c r="Z845" s="49"/>
      <c r="AA845" s="37" t="str" cm="1">
        <f t="array" ref="AA845">IFERROR(IF(INDEX(SubsidieTabel!$Q$1:$T$9,MATCH($F845,SubsidieTabel!$Q$1:$Q$9,0),IFERROR(MATCH(Methode_Keuze,SubsidieTabel!$Q$1:$T$1,0),2))&lt;&gt;1=TRUE,"ja",""),"")</f>
        <v/>
      </c>
    </row>
    <row r="846" spans="1:27" ht="15" customHeight="1" x14ac:dyDescent="0.25">
      <c r="A846" s="85"/>
      <c r="B846" s="217" t="str">
        <f>IF(A846&lt;&gt;"",_xlfn.MAXIFS($B$1:B845,$A$1:A845,A846)+1,"")</f>
        <v/>
      </c>
      <c r="C846" s="50"/>
      <c r="D846" s="50"/>
      <c r="E846" s="50"/>
      <c r="F846" s="50"/>
      <c r="G846" s="280"/>
      <c r="H846" s="293"/>
      <c r="I846" s="292"/>
      <c r="J846" s="292"/>
      <c r="K846" s="200"/>
      <c r="L846" s="200"/>
      <c r="M846" s="89" t="str">
        <f>IFERROR(VLOOKUP(H846,Lijsten!$H$1:$I$100,2,0),"")</f>
        <v/>
      </c>
      <c r="N846" s="89" t="str" cm="1">
        <f t="array" ref="N846">IFERROR(_xlfn.IFS(AND(LEFT(F846,6)="Arbeid",RIGHT(F846,3)&lt;&gt;"IKS"),IFERROR(VLOOKUP($G846,Tb_KostenTypen[],2,0),"tarief"),RIGHT(F846,3)="IKS","Uurtarief",LEFT(F846,6)="Arbeid","Uurtarief",AND(LEFT(F846,8)="Bijdrage",RIGHT(F846,15)="(vrijwilligers)"),"Vast tarief"),"")</f>
        <v/>
      </c>
      <c r="O846" s="90"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0"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1"/>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59"/>
      <c r="Z846" s="49"/>
      <c r="AA846" s="37" t="str" cm="1">
        <f t="array" ref="AA846">IFERROR(IF(INDEX(SubsidieTabel!$Q$1:$T$9,MATCH($F846,SubsidieTabel!$Q$1:$Q$9,0),IFERROR(MATCH(Methode_Keuze,SubsidieTabel!$Q$1:$T$1,0),2))&lt;&gt;1=TRUE,"ja",""),"")</f>
        <v/>
      </c>
    </row>
    <row r="847" spans="1:27" ht="15" customHeight="1" x14ac:dyDescent="0.25">
      <c r="A847" s="85"/>
      <c r="B847" s="217" t="str">
        <f>IF(A847&lt;&gt;"",_xlfn.MAXIFS($B$1:B846,$A$1:A846,A847)+1,"")</f>
        <v/>
      </c>
      <c r="C847" s="50"/>
      <c r="D847" s="50"/>
      <c r="E847" s="50"/>
      <c r="F847" s="50"/>
      <c r="G847" s="280"/>
      <c r="H847" s="293"/>
      <c r="I847" s="292"/>
      <c r="J847" s="292"/>
      <c r="K847" s="200"/>
      <c r="L847" s="200"/>
      <c r="M847" s="89" t="str">
        <f>IFERROR(VLOOKUP(H847,Lijsten!$H$1:$I$100,2,0),"")</f>
        <v/>
      </c>
      <c r="N847" s="89" t="str" cm="1">
        <f t="array" ref="N847">IFERROR(_xlfn.IFS(AND(LEFT(F847,6)="Arbeid",RIGHT(F847,3)&lt;&gt;"IKS"),IFERROR(VLOOKUP($G847,Tb_KostenTypen[],2,0),"tarief"),RIGHT(F847,3)="IKS","Uurtarief",LEFT(F847,6)="Arbeid","Uurtarief",AND(LEFT(F847,8)="Bijdrage",RIGHT(F847,15)="(vrijwilligers)"),"Vast tarief"),"")</f>
        <v/>
      </c>
      <c r="O847" s="90"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0"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1"/>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59"/>
      <c r="Z847" s="49"/>
      <c r="AA847" s="37" t="str" cm="1">
        <f t="array" ref="AA847">IFERROR(IF(INDEX(SubsidieTabel!$Q$1:$T$9,MATCH($F847,SubsidieTabel!$Q$1:$Q$9,0),IFERROR(MATCH(Methode_Keuze,SubsidieTabel!$Q$1:$T$1,0),2))&lt;&gt;1=TRUE,"ja",""),"")</f>
        <v/>
      </c>
    </row>
    <row r="848" spans="1:27" ht="15" customHeight="1" x14ac:dyDescent="0.25">
      <c r="A848" s="85"/>
      <c r="B848" s="217" t="str">
        <f>IF(A848&lt;&gt;"",_xlfn.MAXIFS($B$1:B847,$A$1:A847,A848)+1,"")</f>
        <v/>
      </c>
      <c r="C848" s="50"/>
      <c r="D848" s="50"/>
      <c r="E848" s="50"/>
      <c r="F848" s="50"/>
      <c r="G848" s="280"/>
      <c r="H848" s="293"/>
      <c r="I848" s="292"/>
      <c r="J848" s="292"/>
      <c r="K848" s="200"/>
      <c r="L848" s="200"/>
      <c r="M848" s="89" t="str">
        <f>IFERROR(VLOOKUP(H848,Lijsten!$H$1:$I$100,2,0),"")</f>
        <v/>
      </c>
      <c r="N848" s="89" t="str" cm="1">
        <f t="array" ref="N848">IFERROR(_xlfn.IFS(AND(LEFT(F848,6)="Arbeid",RIGHT(F848,3)&lt;&gt;"IKS"),IFERROR(VLOOKUP($G848,Tb_KostenTypen[],2,0),"tarief"),RIGHT(F848,3)="IKS","Uurtarief",LEFT(F848,6)="Arbeid","Uurtarief",AND(LEFT(F848,8)="Bijdrage",RIGHT(F848,15)="(vrijwilligers)"),"Vast tarief"),"")</f>
        <v/>
      </c>
      <c r="O848" s="90"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0"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1"/>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59"/>
      <c r="Z848" s="49"/>
      <c r="AA848" s="37" t="str" cm="1">
        <f t="array" ref="AA848">IFERROR(IF(INDEX(SubsidieTabel!$Q$1:$T$9,MATCH($F848,SubsidieTabel!$Q$1:$Q$9,0),IFERROR(MATCH(Methode_Keuze,SubsidieTabel!$Q$1:$T$1,0),2))&lt;&gt;1=TRUE,"ja",""),"")</f>
        <v/>
      </c>
    </row>
    <row r="849" spans="1:27" ht="15" customHeight="1" x14ac:dyDescent="0.25">
      <c r="A849" s="85"/>
      <c r="B849" s="217" t="str">
        <f>IF(A849&lt;&gt;"",_xlfn.MAXIFS($B$1:B848,$A$1:A848,A849)+1,"")</f>
        <v/>
      </c>
      <c r="C849" s="50"/>
      <c r="D849" s="50"/>
      <c r="E849" s="50"/>
      <c r="F849" s="50"/>
      <c r="G849" s="280"/>
      <c r="H849" s="293"/>
      <c r="I849" s="292"/>
      <c r="J849" s="292"/>
      <c r="K849" s="200"/>
      <c r="L849" s="200"/>
      <c r="M849" s="89" t="str">
        <f>IFERROR(VLOOKUP(H849,Lijsten!$H$1:$I$100,2,0),"")</f>
        <v/>
      </c>
      <c r="N849" s="89" t="str" cm="1">
        <f t="array" ref="N849">IFERROR(_xlfn.IFS(AND(LEFT(F849,6)="Arbeid",RIGHT(F849,3)&lt;&gt;"IKS"),IFERROR(VLOOKUP($G849,Tb_KostenTypen[],2,0),"tarief"),RIGHT(F849,3)="IKS","Uurtarief",LEFT(F849,6)="Arbeid","Uurtarief",AND(LEFT(F849,8)="Bijdrage",RIGHT(F849,15)="(vrijwilligers)"),"Vast tarief"),"")</f>
        <v/>
      </c>
      <c r="O849" s="90"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0"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1"/>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59"/>
      <c r="Z849" s="49"/>
      <c r="AA849" s="37" t="str" cm="1">
        <f t="array" ref="AA849">IFERROR(IF(INDEX(SubsidieTabel!$Q$1:$T$9,MATCH($F849,SubsidieTabel!$Q$1:$Q$9,0),IFERROR(MATCH(Methode_Keuze,SubsidieTabel!$Q$1:$T$1,0),2))&lt;&gt;1=TRUE,"ja",""),"")</f>
        <v/>
      </c>
    </row>
    <row r="850" spans="1:27" ht="15" customHeight="1" x14ac:dyDescent="0.25">
      <c r="A850" s="85"/>
      <c r="B850" s="217" t="str">
        <f>IF(A850&lt;&gt;"",_xlfn.MAXIFS($B$1:B849,$A$1:A849,A850)+1,"")</f>
        <v/>
      </c>
      <c r="C850" s="50"/>
      <c r="D850" s="50"/>
      <c r="E850" s="50"/>
      <c r="F850" s="50"/>
      <c r="G850" s="280"/>
      <c r="H850" s="293"/>
      <c r="I850" s="292"/>
      <c r="J850" s="292"/>
      <c r="K850" s="200"/>
      <c r="L850" s="200"/>
      <c r="M850" s="89" t="str">
        <f>IFERROR(VLOOKUP(H850,Lijsten!$H$1:$I$100,2,0),"")</f>
        <v/>
      </c>
      <c r="N850" s="89" t="str" cm="1">
        <f t="array" ref="N850">IFERROR(_xlfn.IFS(AND(LEFT(F850,6)="Arbeid",RIGHT(F850,3)&lt;&gt;"IKS"),IFERROR(VLOOKUP($G850,Tb_KostenTypen[],2,0),"tarief"),RIGHT(F850,3)="IKS","Uurtarief",LEFT(F850,6)="Arbeid","Uurtarief",AND(LEFT(F850,8)="Bijdrage",RIGHT(F850,15)="(vrijwilligers)"),"Vast tarief"),"")</f>
        <v/>
      </c>
      <c r="O850" s="90"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0"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1"/>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59"/>
      <c r="Z850" s="49"/>
      <c r="AA850" s="37" t="str" cm="1">
        <f t="array" ref="AA850">IFERROR(IF(INDEX(SubsidieTabel!$Q$1:$T$9,MATCH($F850,SubsidieTabel!$Q$1:$Q$9,0),IFERROR(MATCH(Methode_Keuze,SubsidieTabel!$Q$1:$T$1,0),2))&lt;&gt;1=TRUE,"ja",""),"")</f>
        <v/>
      </c>
    </row>
    <row r="851" spans="1:27" ht="15" customHeight="1" x14ac:dyDescent="0.25">
      <c r="A851" s="85"/>
      <c r="B851" s="217" t="str">
        <f>IF(A851&lt;&gt;"",_xlfn.MAXIFS($B$1:B850,$A$1:A850,A851)+1,"")</f>
        <v/>
      </c>
      <c r="C851" s="50"/>
      <c r="D851" s="50"/>
      <c r="E851" s="50"/>
      <c r="F851" s="50"/>
      <c r="G851" s="280"/>
      <c r="H851" s="293"/>
      <c r="I851" s="292"/>
      <c r="J851" s="292"/>
      <c r="K851" s="200"/>
      <c r="L851" s="200"/>
      <c r="M851" s="89" t="str">
        <f>IFERROR(VLOOKUP(H851,Lijsten!$H$1:$I$100,2,0),"")</f>
        <v/>
      </c>
      <c r="N851" s="89" t="str" cm="1">
        <f t="array" ref="N851">IFERROR(_xlfn.IFS(AND(LEFT(F851,6)="Arbeid",RIGHT(F851,3)&lt;&gt;"IKS"),IFERROR(VLOOKUP($G851,Tb_KostenTypen[],2,0),"tarief"),RIGHT(F851,3)="IKS","Uurtarief",LEFT(F851,6)="Arbeid","Uurtarief",AND(LEFT(F851,8)="Bijdrage",RIGHT(F851,15)="(vrijwilligers)"),"Vast tarief"),"")</f>
        <v/>
      </c>
      <c r="O851" s="90"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0"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1"/>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59"/>
      <c r="Z851" s="49"/>
      <c r="AA851" s="37" t="str" cm="1">
        <f t="array" ref="AA851">IFERROR(IF(INDEX(SubsidieTabel!$Q$1:$T$9,MATCH($F851,SubsidieTabel!$Q$1:$Q$9,0),IFERROR(MATCH(Methode_Keuze,SubsidieTabel!$Q$1:$T$1,0),2))&lt;&gt;1=TRUE,"ja",""),"")</f>
        <v/>
      </c>
    </row>
    <row r="852" spans="1:27" ht="15" customHeight="1" x14ac:dyDescent="0.25">
      <c r="A852" s="85"/>
      <c r="B852" s="217" t="str">
        <f>IF(A852&lt;&gt;"",_xlfn.MAXIFS($B$1:B851,$A$1:A851,A852)+1,"")</f>
        <v/>
      </c>
      <c r="C852" s="50"/>
      <c r="D852" s="50"/>
      <c r="E852" s="50"/>
      <c r="F852" s="50"/>
      <c r="G852" s="280"/>
      <c r="H852" s="293"/>
      <c r="I852" s="292"/>
      <c r="J852" s="292"/>
      <c r="K852" s="200"/>
      <c r="L852" s="200"/>
      <c r="M852" s="89" t="str">
        <f>IFERROR(VLOOKUP(H852,Lijsten!$H$1:$I$100,2,0),"")</f>
        <v/>
      </c>
      <c r="N852" s="89" t="str" cm="1">
        <f t="array" ref="N852">IFERROR(_xlfn.IFS(AND(LEFT(F852,6)="Arbeid",RIGHT(F852,3)&lt;&gt;"IKS"),IFERROR(VLOOKUP($G852,Tb_KostenTypen[],2,0),"tarief"),RIGHT(F852,3)="IKS","Uurtarief",LEFT(F852,6)="Arbeid","Uurtarief",AND(LEFT(F852,8)="Bijdrage",RIGHT(F852,15)="(vrijwilligers)"),"Vast tarief"),"")</f>
        <v/>
      </c>
      <c r="O852" s="90"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0"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1"/>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59"/>
      <c r="Z852" s="49"/>
      <c r="AA852" s="37" t="str" cm="1">
        <f t="array" ref="AA852">IFERROR(IF(INDEX(SubsidieTabel!$Q$1:$T$9,MATCH($F852,SubsidieTabel!$Q$1:$Q$9,0),IFERROR(MATCH(Methode_Keuze,SubsidieTabel!$Q$1:$T$1,0),2))&lt;&gt;1=TRUE,"ja",""),"")</f>
        <v/>
      </c>
    </row>
    <row r="853" spans="1:27" ht="15" customHeight="1" x14ac:dyDescent="0.25">
      <c r="A853" s="85"/>
      <c r="B853" s="217" t="str">
        <f>IF(A853&lt;&gt;"",_xlfn.MAXIFS($B$1:B852,$A$1:A852,A853)+1,"")</f>
        <v/>
      </c>
      <c r="C853" s="50"/>
      <c r="D853" s="50"/>
      <c r="E853" s="50"/>
      <c r="F853" s="50"/>
      <c r="G853" s="280"/>
      <c r="H853" s="293"/>
      <c r="I853" s="292"/>
      <c r="J853" s="292"/>
      <c r="K853" s="200"/>
      <c r="L853" s="200"/>
      <c r="M853" s="89" t="str">
        <f>IFERROR(VLOOKUP(H853,Lijsten!$H$1:$I$100,2,0),"")</f>
        <v/>
      </c>
      <c r="N853" s="89" t="str" cm="1">
        <f t="array" ref="N853">IFERROR(_xlfn.IFS(AND(LEFT(F853,6)="Arbeid",RIGHT(F853,3)&lt;&gt;"IKS"),IFERROR(VLOOKUP($G853,Tb_KostenTypen[],2,0),"tarief"),RIGHT(F853,3)="IKS","Uurtarief",LEFT(F853,6)="Arbeid","Uurtarief",AND(LEFT(F853,8)="Bijdrage",RIGHT(F853,15)="(vrijwilligers)"),"Vast tarief"),"")</f>
        <v/>
      </c>
      <c r="O853" s="90"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0"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1"/>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59"/>
      <c r="Z853" s="49"/>
      <c r="AA853" s="37" t="str" cm="1">
        <f t="array" ref="AA853">IFERROR(IF(INDEX(SubsidieTabel!$Q$1:$T$9,MATCH($F853,SubsidieTabel!$Q$1:$Q$9,0),IFERROR(MATCH(Methode_Keuze,SubsidieTabel!$Q$1:$T$1,0),2))&lt;&gt;1=TRUE,"ja",""),"")</f>
        <v/>
      </c>
    </row>
    <row r="854" spans="1:27" ht="15" customHeight="1" x14ac:dyDescent="0.25">
      <c r="A854" s="85"/>
      <c r="B854" s="217" t="str">
        <f>IF(A854&lt;&gt;"",_xlfn.MAXIFS($B$1:B853,$A$1:A853,A854)+1,"")</f>
        <v/>
      </c>
      <c r="C854" s="50"/>
      <c r="D854" s="50"/>
      <c r="E854" s="50"/>
      <c r="F854" s="50"/>
      <c r="G854" s="280"/>
      <c r="H854" s="293"/>
      <c r="I854" s="292"/>
      <c r="J854" s="292"/>
      <c r="K854" s="200"/>
      <c r="L854" s="200"/>
      <c r="M854" s="89" t="str">
        <f>IFERROR(VLOOKUP(H854,Lijsten!$H$1:$I$100,2,0),"")</f>
        <v/>
      </c>
      <c r="N854" s="89" t="str" cm="1">
        <f t="array" ref="N854">IFERROR(_xlfn.IFS(AND(LEFT(F854,6)="Arbeid",RIGHT(F854,3)&lt;&gt;"IKS"),IFERROR(VLOOKUP($G854,Tb_KostenTypen[],2,0),"tarief"),RIGHT(F854,3)="IKS","Uurtarief",LEFT(F854,6)="Arbeid","Uurtarief",AND(LEFT(F854,8)="Bijdrage",RIGHT(F854,15)="(vrijwilligers)"),"Vast tarief"),"")</f>
        <v/>
      </c>
      <c r="O854" s="90"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0"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1"/>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59"/>
      <c r="Z854" s="49"/>
      <c r="AA854" s="37" t="str" cm="1">
        <f t="array" ref="AA854">IFERROR(IF(INDEX(SubsidieTabel!$Q$1:$T$9,MATCH($F854,SubsidieTabel!$Q$1:$Q$9,0),IFERROR(MATCH(Methode_Keuze,SubsidieTabel!$Q$1:$T$1,0),2))&lt;&gt;1=TRUE,"ja",""),"")</f>
        <v/>
      </c>
    </row>
    <row r="855" spans="1:27" ht="15" customHeight="1" x14ac:dyDescent="0.25">
      <c r="A855" s="85"/>
      <c r="B855" s="217" t="str">
        <f>IF(A855&lt;&gt;"",_xlfn.MAXIFS($B$1:B854,$A$1:A854,A855)+1,"")</f>
        <v/>
      </c>
      <c r="C855" s="50"/>
      <c r="D855" s="50"/>
      <c r="E855" s="50"/>
      <c r="F855" s="50"/>
      <c r="G855" s="280"/>
      <c r="H855" s="293"/>
      <c r="I855" s="292"/>
      <c r="J855" s="292"/>
      <c r="K855" s="200"/>
      <c r="L855" s="200"/>
      <c r="M855" s="89" t="str">
        <f>IFERROR(VLOOKUP(H855,Lijsten!$H$1:$I$100,2,0),"")</f>
        <v/>
      </c>
      <c r="N855" s="89" t="str" cm="1">
        <f t="array" ref="N855">IFERROR(_xlfn.IFS(AND(LEFT(F855,6)="Arbeid",RIGHT(F855,3)&lt;&gt;"IKS"),IFERROR(VLOOKUP($G855,Tb_KostenTypen[],2,0),"tarief"),RIGHT(F855,3)="IKS","Uurtarief",LEFT(F855,6)="Arbeid","Uurtarief",AND(LEFT(F855,8)="Bijdrage",RIGHT(F855,15)="(vrijwilligers)"),"Vast tarief"),"")</f>
        <v/>
      </c>
      <c r="O855" s="90"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0"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1"/>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59"/>
      <c r="Z855" s="49"/>
      <c r="AA855" s="37" t="str" cm="1">
        <f t="array" ref="AA855">IFERROR(IF(INDEX(SubsidieTabel!$Q$1:$T$9,MATCH($F855,SubsidieTabel!$Q$1:$Q$9,0),IFERROR(MATCH(Methode_Keuze,SubsidieTabel!$Q$1:$T$1,0),2))&lt;&gt;1=TRUE,"ja",""),"")</f>
        <v/>
      </c>
    </row>
    <row r="856" spans="1:27" ht="15" customHeight="1" x14ac:dyDescent="0.25">
      <c r="A856" s="85"/>
      <c r="B856" s="217" t="str">
        <f>IF(A856&lt;&gt;"",_xlfn.MAXIFS($B$1:B855,$A$1:A855,A856)+1,"")</f>
        <v/>
      </c>
      <c r="C856" s="50"/>
      <c r="D856" s="50"/>
      <c r="E856" s="50"/>
      <c r="F856" s="50"/>
      <c r="G856" s="280"/>
      <c r="H856" s="293"/>
      <c r="I856" s="292"/>
      <c r="J856" s="292"/>
      <c r="K856" s="200"/>
      <c r="L856" s="200"/>
      <c r="M856" s="89" t="str">
        <f>IFERROR(VLOOKUP(H856,Lijsten!$H$1:$I$100,2,0),"")</f>
        <v/>
      </c>
      <c r="N856" s="89" t="str" cm="1">
        <f t="array" ref="N856">IFERROR(_xlfn.IFS(AND(LEFT(F856,6)="Arbeid",RIGHT(F856,3)&lt;&gt;"IKS"),IFERROR(VLOOKUP($G856,Tb_KostenTypen[],2,0),"tarief"),RIGHT(F856,3)="IKS","Uurtarief",LEFT(F856,6)="Arbeid","Uurtarief",AND(LEFT(F856,8)="Bijdrage",RIGHT(F856,15)="(vrijwilligers)"),"Vast tarief"),"")</f>
        <v/>
      </c>
      <c r="O856" s="90"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0"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1"/>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59"/>
      <c r="Z856" s="49"/>
      <c r="AA856" s="37" t="str" cm="1">
        <f t="array" ref="AA856">IFERROR(IF(INDEX(SubsidieTabel!$Q$1:$T$9,MATCH($F856,SubsidieTabel!$Q$1:$Q$9,0),IFERROR(MATCH(Methode_Keuze,SubsidieTabel!$Q$1:$T$1,0),2))&lt;&gt;1=TRUE,"ja",""),"")</f>
        <v/>
      </c>
    </row>
    <row r="857" spans="1:27" ht="15" customHeight="1" x14ac:dyDescent="0.25">
      <c r="A857" s="85"/>
      <c r="B857" s="217" t="str">
        <f>IF(A857&lt;&gt;"",_xlfn.MAXIFS($B$1:B856,$A$1:A856,A857)+1,"")</f>
        <v/>
      </c>
      <c r="C857" s="50"/>
      <c r="D857" s="50"/>
      <c r="E857" s="50"/>
      <c r="F857" s="50"/>
      <c r="G857" s="280"/>
      <c r="H857" s="293"/>
      <c r="I857" s="292"/>
      <c r="J857" s="292"/>
      <c r="K857" s="200"/>
      <c r="L857" s="200"/>
      <c r="M857" s="89" t="str">
        <f>IFERROR(VLOOKUP(H857,Lijsten!$H$1:$I$100,2,0),"")</f>
        <v/>
      </c>
      <c r="N857" s="89" t="str" cm="1">
        <f t="array" ref="N857">IFERROR(_xlfn.IFS(AND(LEFT(F857,6)="Arbeid",RIGHT(F857,3)&lt;&gt;"IKS"),IFERROR(VLOOKUP($G857,Tb_KostenTypen[],2,0),"tarief"),RIGHT(F857,3)="IKS","Uurtarief",LEFT(F857,6)="Arbeid","Uurtarief",AND(LEFT(F857,8)="Bijdrage",RIGHT(F857,15)="(vrijwilligers)"),"Vast tarief"),"")</f>
        <v/>
      </c>
      <c r="O857" s="90"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0"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1"/>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59"/>
      <c r="Z857" s="49"/>
      <c r="AA857" s="37" t="str" cm="1">
        <f t="array" ref="AA857">IFERROR(IF(INDEX(SubsidieTabel!$Q$1:$T$9,MATCH($F857,SubsidieTabel!$Q$1:$Q$9,0),IFERROR(MATCH(Methode_Keuze,SubsidieTabel!$Q$1:$T$1,0),2))&lt;&gt;1=TRUE,"ja",""),"")</f>
        <v/>
      </c>
    </row>
    <row r="858" spans="1:27" ht="15" customHeight="1" x14ac:dyDescent="0.25">
      <c r="A858" s="85"/>
      <c r="B858" s="217" t="str">
        <f>IF(A858&lt;&gt;"",_xlfn.MAXIFS($B$1:B857,$A$1:A857,A858)+1,"")</f>
        <v/>
      </c>
      <c r="C858" s="50"/>
      <c r="D858" s="50"/>
      <c r="E858" s="50"/>
      <c r="F858" s="50"/>
      <c r="G858" s="280"/>
      <c r="H858" s="293"/>
      <c r="I858" s="292"/>
      <c r="J858" s="292"/>
      <c r="K858" s="200"/>
      <c r="L858" s="200"/>
      <c r="M858" s="89" t="str">
        <f>IFERROR(VLOOKUP(H858,Lijsten!$H$1:$I$100,2,0),"")</f>
        <v/>
      </c>
      <c r="N858" s="89" t="str" cm="1">
        <f t="array" ref="N858">IFERROR(_xlfn.IFS(AND(LEFT(F858,6)="Arbeid",RIGHT(F858,3)&lt;&gt;"IKS"),IFERROR(VLOOKUP($G858,Tb_KostenTypen[],2,0),"tarief"),RIGHT(F858,3)="IKS","Uurtarief",LEFT(F858,6)="Arbeid","Uurtarief",AND(LEFT(F858,8)="Bijdrage",RIGHT(F858,15)="(vrijwilligers)"),"Vast tarief"),"")</f>
        <v/>
      </c>
      <c r="O858" s="90"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0"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1"/>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59"/>
      <c r="Z858" s="49"/>
      <c r="AA858" s="37" t="str" cm="1">
        <f t="array" ref="AA858">IFERROR(IF(INDEX(SubsidieTabel!$Q$1:$T$9,MATCH($F858,SubsidieTabel!$Q$1:$Q$9,0),IFERROR(MATCH(Methode_Keuze,SubsidieTabel!$Q$1:$T$1,0),2))&lt;&gt;1=TRUE,"ja",""),"")</f>
        <v/>
      </c>
    </row>
    <row r="859" spans="1:27" ht="15" customHeight="1" x14ac:dyDescent="0.25">
      <c r="A859" s="85"/>
      <c r="B859" s="217" t="str">
        <f>IF(A859&lt;&gt;"",_xlfn.MAXIFS($B$1:B858,$A$1:A858,A859)+1,"")</f>
        <v/>
      </c>
      <c r="C859" s="50"/>
      <c r="D859" s="50"/>
      <c r="E859" s="50"/>
      <c r="F859" s="50"/>
      <c r="G859" s="280"/>
      <c r="H859" s="293"/>
      <c r="I859" s="292"/>
      <c r="J859" s="292"/>
      <c r="K859" s="200"/>
      <c r="L859" s="200"/>
      <c r="M859" s="89" t="str">
        <f>IFERROR(VLOOKUP(H859,Lijsten!$H$1:$I$100,2,0),"")</f>
        <v/>
      </c>
      <c r="N859" s="89" t="str" cm="1">
        <f t="array" ref="N859">IFERROR(_xlfn.IFS(AND(LEFT(F859,6)="Arbeid",RIGHT(F859,3)&lt;&gt;"IKS"),IFERROR(VLOOKUP($G859,Tb_KostenTypen[],2,0),"tarief"),RIGHT(F859,3)="IKS","Uurtarief",LEFT(F859,6)="Arbeid","Uurtarief",AND(LEFT(F859,8)="Bijdrage",RIGHT(F859,15)="(vrijwilligers)"),"Vast tarief"),"")</f>
        <v/>
      </c>
      <c r="O859" s="90"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0"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1"/>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59"/>
      <c r="Z859" s="49"/>
      <c r="AA859" s="37" t="str" cm="1">
        <f t="array" ref="AA859">IFERROR(IF(INDEX(SubsidieTabel!$Q$1:$T$9,MATCH($F859,SubsidieTabel!$Q$1:$Q$9,0),IFERROR(MATCH(Methode_Keuze,SubsidieTabel!$Q$1:$T$1,0),2))&lt;&gt;1=TRUE,"ja",""),"")</f>
        <v/>
      </c>
    </row>
    <row r="860" spans="1:27" ht="15" customHeight="1" x14ac:dyDescent="0.25">
      <c r="A860" s="85"/>
      <c r="B860" s="217" t="str">
        <f>IF(A860&lt;&gt;"",_xlfn.MAXIFS($B$1:B859,$A$1:A859,A860)+1,"")</f>
        <v/>
      </c>
      <c r="C860" s="50"/>
      <c r="D860" s="50"/>
      <c r="E860" s="50"/>
      <c r="F860" s="50"/>
      <c r="G860" s="280"/>
      <c r="H860" s="293"/>
      <c r="I860" s="292"/>
      <c r="J860" s="292"/>
      <c r="K860" s="200"/>
      <c r="L860" s="200"/>
      <c r="M860" s="89" t="str">
        <f>IFERROR(VLOOKUP(H860,Lijsten!$H$1:$I$100,2,0),"")</f>
        <v/>
      </c>
      <c r="N860" s="89" t="str" cm="1">
        <f t="array" ref="N860">IFERROR(_xlfn.IFS(AND(LEFT(F860,6)="Arbeid",RIGHT(F860,3)&lt;&gt;"IKS"),IFERROR(VLOOKUP($G860,Tb_KostenTypen[],2,0),"tarief"),RIGHT(F860,3)="IKS","Uurtarief",LEFT(F860,6)="Arbeid","Uurtarief",AND(LEFT(F860,8)="Bijdrage",RIGHT(F860,15)="(vrijwilligers)"),"Vast tarief"),"")</f>
        <v/>
      </c>
      <c r="O860" s="90"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0"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1"/>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59"/>
      <c r="Z860" s="49"/>
      <c r="AA860" s="37" t="str" cm="1">
        <f t="array" ref="AA860">IFERROR(IF(INDEX(SubsidieTabel!$Q$1:$T$9,MATCH($F860,SubsidieTabel!$Q$1:$Q$9,0),IFERROR(MATCH(Methode_Keuze,SubsidieTabel!$Q$1:$T$1,0),2))&lt;&gt;1=TRUE,"ja",""),"")</f>
        <v/>
      </c>
    </row>
    <row r="861" spans="1:27" ht="15" customHeight="1" x14ac:dyDescent="0.25">
      <c r="A861" s="85"/>
      <c r="B861" s="217" t="str">
        <f>IF(A861&lt;&gt;"",_xlfn.MAXIFS($B$1:B860,$A$1:A860,A861)+1,"")</f>
        <v/>
      </c>
      <c r="C861" s="50"/>
      <c r="D861" s="50"/>
      <c r="E861" s="50"/>
      <c r="F861" s="50"/>
      <c r="G861" s="280"/>
      <c r="H861" s="293"/>
      <c r="I861" s="292"/>
      <c r="J861" s="292"/>
      <c r="K861" s="200"/>
      <c r="L861" s="200"/>
      <c r="M861" s="89" t="str">
        <f>IFERROR(VLOOKUP(H861,Lijsten!$H$1:$I$100,2,0),"")</f>
        <v/>
      </c>
      <c r="N861" s="89" t="str" cm="1">
        <f t="array" ref="N861">IFERROR(_xlfn.IFS(AND(LEFT(F861,6)="Arbeid",RIGHT(F861,3)&lt;&gt;"IKS"),IFERROR(VLOOKUP($G861,Tb_KostenTypen[],2,0),"tarief"),RIGHT(F861,3)="IKS","Uurtarief",LEFT(F861,6)="Arbeid","Uurtarief",AND(LEFT(F861,8)="Bijdrage",RIGHT(F861,15)="(vrijwilligers)"),"Vast tarief"),"")</f>
        <v/>
      </c>
      <c r="O861" s="90"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0"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1"/>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59"/>
      <c r="Z861" s="49"/>
      <c r="AA861" s="37" t="str" cm="1">
        <f t="array" ref="AA861">IFERROR(IF(INDEX(SubsidieTabel!$Q$1:$T$9,MATCH($F861,SubsidieTabel!$Q$1:$Q$9,0),IFERROR(MATCH(Methode_Keuze,SubsidieTabel!$Q$1:$T$1,0),2))&lt;&gt;1=TRUE,"ja",""),"")</f>
        <v/>
      </c>
    </row>
    <row r="862" spans="1:27" ht="15" customHeight="1" x14ac:dyDescent="0.25">
      <c r="A862" s="85"/>
      <c r="B862" s="217" t="str">
        <f>IF(A862&lt;&gt;"",_xlfn.MAXIFS($B$1:B861,$A$1:A861,A862)+1,"")</f>
        <v/>
      </c>
      <c r="C862" s="50"/>
      <c r="D862" s="50"/>
      <c r="E862" s="50"/>
      <c r="F862" s="50"/>
      <c r="G862" s="280"/>
      <c r="H862" s="293"/>
      <c r="I862" s="292"/>
      <c r="J862" s="292"/>
      <c r="K862" s="200"/>
      <c r="L862" s="200"/>
      <c r="M862" s="89" t="str">
        <f>IFERROR(VLOOKUP(H862,Lijsten!$H$1:$I$100,2,0),"")</f>
        <v/>
      </c>
      <c r="N862" s="89" t="str" cm="1">
        <f t="array" ref="N862">IFERROR(_xlfn.IFS(AND(LEFT(F862,6)="Arbeid",RIGHT(F862,3)&lt;&gt;"IKS"),IFERROR(VLOOKUP($G862,Tb_KostenTypen[],2,0),"tarief"),RIGHT(F862,3)="IKS","Uurtarief",LEFT(F862,6)="Arbeid","Uurtarief",AND(LEFT(F862,8)="Bijdrage",RIGHT(F862,15)="(vrijwilligers)"),"Vast tarief"),"")</f>
        <v/>
      </c>
      <c r="O862" s="90"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0"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1"/>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59"/>
      <c r="Z862" s="49"/>
      <c r="AA862" s="37" t="str" cm="1">
        <f t="array" ref="AA862">IFERROR(IF(INDEX(SubsidieTabel!$Q$1:$T$9,MATCH($F862,SubsidieTabel!$Q$1:$Q$9,0),IFERROR(MATCH(Methode_Keuze,SubsidieTabel!$Q$1:$T$1,0),2))&lt;&gt;1=TRUE,"ja",""),"")</f>
        <v/>
      </c>
    </row>
    <row r="863" spans="1:27" ht="15" customHeight="1" x14ac:dyDescent="0.25">
      <c r="A863" s="85"/>
      <c r="B863" s="217" t="str">
        <f>IF(A863&lt;&gt;"",_xlfn.MAXIFS($B$1:B862,$A$1:A862,A863)+1,"")</f>
        <v/>
      </c>
      <c r="C863" s="50"/>
      <c r="D863" s="50"/>
      <c r="E863" s="50"/>
      <c r="F863" s="50"/>
      <c r="G863" s="280"/>
      <c r="H863" s="293"/>
      <c r="I863" s="292"/>
      <c r="J863" s="292"/>
      <c r="K863" s="200"/>
      <c r="L863" s="200"/>
      <c r="M863" s="89" t="str">
        <f>IFERROR(VLOOKUP(H863,Lijsten!$H$1:$I$100,2,0),"")</f>
        <v/>
      </c>
      <c r="N863" s="89" t="str" cm="1">
        <f t="array" ref="N863">IFERROR(_xlfn.IFS(AND(LEFT(F863,6)="Arbeid",RIGHT(F863,3)&lt;&gt;"IKS"),IFERROR(VLOOKUP($G863,Tb_KostenTypen[],2,0),"tarief"),RIGHT(F863,3)="IKS","Uurtarief",LEFT(F863,6)="Arbeid","Uurtarief",AND(LEFT(F863,8)="Bijdrage",RIGHT(F863,15)="(vrijwilligers)"),"Vast tarief"),"")</f>
        <v/>
      </c>
      <c r="O863" s="90"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0"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1"/>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59"/>
      <c r="Z863" s="49"/>
      <c r="AA863" s="37" t="str" cm="1">
        <f t="array" ref="AA863">IFERROR(IF(INDEX(SubsidieTabel!$Q$1:$T$9,MATCH($F863,SubsidieTabel!$Q$1:$Q$9,0),IFERROR(MATCH(Methode_Keuze,SubsidieTabel!$Q$1:$T$1,0),2))&lt;&gt;1=TRUE,"ja",""),"")</f>
        <v/>
      </c>
    </row>
    <row r="864" spans="1:27" ht="15" customHeight="1" x14ac:dyDescent="0.25">
      <c r="A864" s="85"/>
      <c r="B864" s="217" t="str">
        <f>IF(A864&lt;&gt;"",_xlfn.MAXIFS($B$1:B863,$A$1:A863,A864)+1,"")</f>
        <v/>
      </c>
      <c r="C864" s="50"/>
      <c r="D864" s="50"/>
      <c r="E864" s="50"/>
      <c r="F864" s="50"/>
      <c r="G864" s="280"/>
      <c r="H864" s="293"/>
      <c r="I864" s="292"/>
      <c r="J864" s="292"/>
      <c r="K864" s="200"/>
      <c r="L864" s="200"/>
      <c r="M864" s="89" t="str">
        <f>IFERROR(VLOOKUP(H864,Lijsten!$H$1:$I$100,2,0),"")</f>
        <v/>
      </c>
      <c r="N864" s="89" t="str" cm="1">
        <f t="array" ref="N864">IFERROR(_xlfn.IFS(AND(LEFT(F864,6)="Arbeid",RIGHT(F864,3)&lt;&gt;"IKS"),IFERROR(VLOOKUP($G864,Tb_KostenTypen[],2,0),"tarief"),RIGHT(F864,3)="IKS","Uurtarief",LEFT(F864,6)="Arbeid","Uurtarief",AND(LEFT(F864,8)="Bijdrage",RIGHT(F864,15)="(vrijwilligers)"),"Vast tarief"),"")</f>
        <v/>
      </c>
      <c r="O864" s="90"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0"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1"/>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59"/>
      <c r="Z864" s="49"/>
      <c r="AA864" s="37" t="str" cm="1">
        <f t="array" ref="AA864">IFERROR(IF(INDEX(SubsidieTabel!$Q$1:$T$9,MATCH($F864,SubsidieTabel!$Q$1:$Q$9,0),IFERROR(MATCH(Methode_Keuze,SubsidieTabel!$Q$1:$T$1,0),2))&lt;&gt;1=TRUE,"ja",""),"")</f>
        <v/>
      </c>
    </row>
    <row r="865" spans="1:27" ht="15" customHeight="1" x14ac:dyDescent="0.25">
      <c r="A865" s="85"/>
      <c r="B865" s="217" t="str">
        <f>IF(A865&lt;&gt;"",_xlfn.MAXIFS($B$1:B864,$A$1:A864,A865)+1,"")</f>
        <v/>
      </c>
      <c r="C865" s="50"/>
      <c r="D865" s="50"/>
      <c r="E865" s="50"/>
      <c r="F865" s="50"/>
      <c r="G865" s="280"/>
      <c r="H865" s="293"/>
      <c r="I865" s="292"/>
      <c r="J865" s="292"/>
      <c r="K865" s="200"/>
      <c r="L865" s="200"/>
      <c r="M865" s="89" t="str">
        <f>IFERROR(VLOOKUP(H865,Lijsten!$H$1:$I$100,2,0),"")</f>
        <v/>
      </c>
      <c r="N865" s="89" t="str" cm="1">
        <f t="array" ref="N865">IFERROR(_xlfn.IFS(AND(LEFT(F865,6)="Arbeid",RIGHT(F865,3)&lt;&gt;"IKS"),IFERROR(VLOOKUP($G865,Tb_KostenTypen[],2,0),"tarief"),RIGHT(F865,3)="IKS","Uurtarief",LEFT(F865,6)="Arbeid","Uurtarief",AND(LEFT(F865,8)="Bijdrage",RIGHT(F865,15)="(vrijwilligers)"),"Vast tarief"),"")</f>
        <v/>
      </c>
      <c r="O865" s="90"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0"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1"/>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59"/>
      <c r="Z865" s="49"/>
      <c r="AA865" s="37" t="str" cm="1">
        <f t="array" ref="AA865">IFERROR(IF(INDEX(SubsidieTabel!$Q$1:$T$9,MATCH($F865,SubsidieTabel!$Q$1:$Q$9,0),IFERROR(MATCH(Methode_Keuze,SubsidieTabel!$Q$1:$T$1,0),2))&lt;&gt;1=TRUE,"ja",""),"")</f>
        <v/>
      </c>
    </row>
    <row r="866" spans="1:27" ht="15" customHeight="1" x14ac:dyDescent="0.25">
      <c r="A866" s="85"/>
      <c r="B866" s="217" t="str">
        <f>IF(A866&lt;&gt;"",_xlfn.MAXIFS($B$1:B865,$A$1:A865,A866)+1,"")</f>
        <v/>
      </c>
      <c r="C866" s="50"/>
      <c r="D866" s="50"/>
      <c r="E866" s="50"/>
      <c r="F866" s="50"/>
      <c r="G866" s="280"/>
      <c r="H866" s="293"/>
      <c r="I866" s="292"/>
      <c r="J866" s="292"/>
      <c r="K866" s="200"/>
      <c r="L866" s="200"/>
      <c r="M866" s="89" t="str">
        <f>IFERROR(VLOOKUP(H866,Lijsten!$H$1:$I$100,2,0),"")</f>
        <v/>
      </c>
      <c r="N866" s="89" t="str" cm="1">
        <f t="array" ref="N866">IFERROR(_xlfn.IFS(AND(LEFT(F866,6)="Arbeid",RIGHT(F866,3)&lt;&gt;"IKS"),IFERROR(VLOOKUP($G866,Tb_KostenTypen[],2,0),"tarief"),RIGHT(F866,3)="IKS","Uurtarief",LEFT(F866,6)="Arbeid","Uurtarief",AND(LEFT(F866,8)="Bijdrage",RIGHT(F866,15)="(vrijwilligers)"),"Vast tarief"),"")</f>
        <v/>
      </c>
      <c r="O866" s="90"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0"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1"/>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59"/>
      <c r="Z866" s="49"/>
      <c r="AA866" s="37" t="str" cm="1">
        <f t="array" ref="AA866">IFERROR(IF(INDEX(SubsidieTabel!$Q$1:$T$9,MATCH($F866,SubsidieTabel!$Q$1:$Q$9,0),IFERROR(MATCH(Methode_Keuze,SubsidieTabel!$Q$1:$T$1,0),2))&lt;&gt;1=TRUE,"ja",""),"")</f>
        <v/>
      </c>
    </row>
    <row r="867" spans="1:27" ht="15" customHeight="1" x14ac:dyDescent="0.25">
      <c r="A867" s="85"/>
      <c r="B867" s="217" t="str">
        <f>IF(A867&lt;&gt;"",_xlfn.MAXIFS($B$1:B866,$A$1:A866,A867)+1,"")</f>
        <v/>
      </c>
      <c r="C867" s="50"/>
      <c r="D867" s="50"/>
      <c r="E867" s="50"/>
      <c r="F867" s="50"/>
      <c r="G867" s="280"/>
      <c r="H867" s="293"/>
      <c r="I867" s="292"/>
      <c r="J867" s="292"/>
      <c r="K867" s="200"/>
      <c r="L867" s="200"/>
      <c r="M867" s="89" t="str">
        <f>IFERROR(VLOOKUP(H867,Lijsten!$H$1:$I$100,2,0),"")</f>
        <v/>
      </c>
      <c r="N867" s="89" t="str" cm="1">
        <f t="array" ref="N867">IFERROR(_xlfn.IFS(AND(LEFT(F867,6)="Arbeid",RIGHT(F867,3)&lt;&gt;"IKS"),IFERROR(VLOOKUP($G867,Tb_KostenTypen[],2,0),"tarief"),RIGHT(F867,3)="IKS","Uurtarief",LEFT(F867,6)="Arbeid","Uurtarief",AND(LEFT(F867,8)="Bijdrage",RIGHT(F867,15)="(vrijwilligers)"),"Vast tarief"),"")</f>
        <v/>
      </c>
      <c r="O867" s="90"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0"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1"/>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59"/>
      <c r="Z867" s="49"/>
      <c r="AA867" s="37" t="str" cm="1">
        <f t="array" ref="AA867">IFERROR(IF(INDEX(SubsidieTabel!$Q$1:$T$9,MATCH($F867,SubsidieTabel!$Q$1:$Q$9,0),IFERROR(MATCH(Methode_Keuze,SubsidieTabel!$Q$1:$T$1,0),2))&lt;&gt;1=TRUE,"ja",""),"")</f>
        <v/>
      </c>
    </row>
    <row r="868" spans="1:27" ht="15" customHeight="1" x14ac:dyDescent="0.25">
      <c r="A868" s="85"/>
      <c r="B868" s="217" t="str">
        <f>IF(A868&lt;&gt;"",_xlfn.MAXIFS($B$1:B867,$A$1:A867,A868)+1,"")</f>
        <v/>
      </c>
      <c r="C868" s="50"/>
      <c r="D868" s="50"/>
      <c r="E868" s="50"/>
      <c r="F868" s="50"/>
      <c r="G868" s="280"/>
      <c r="H868" s="293"/>
      <c r="I868" s="292"/>
      <c r="J868" s="292"/>
      <c r="K868" s="200"/>
      <c r="L868" s="200"/>
      <c r="M868" s="89" t="str">
        <f>IFERROR(VLOOKUP(H868,Lijsten!$H$1:$I$100,2,0),"")</f>
        <v/>
      </c>
      <c r="N868" s="89" t="str" cm="1">
        <f t="array" ref="N868">IFERROR(_xlfn.IFS(AND(LEFT(F868,6)="Arbeid",RIGHT(F868,3)&lt;&gt;"IKS"),IFERROR(VLOOKUP($G868,Tb_KostenTypen[],2,0),"tarief"),RIGHT(F868,3)="IKS","Uurtarief",LEFT(F868,6)="Arbeid","Uurtarief",AND(LEFT(F868,8)="Bijdrage",RIGHT(F868,15)="(vrijwilligers)"),"Vast tarief"),"")</f>
        <v/>
      </c>
      <c r="O868" s="90"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0"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1"/>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59"/>
      <c r="Z868" s="49"/>
      <c r="AA868" s="37" t="str" cm="1">
        <f t="array" ref="AA868">IFERROR(IF(INDEX(SubsidieTabel!$Q$1:$T$9,MATCH($F868,SubsidieTabel!$Q$1:$Q$9,0),IFERROR(MATCH(Methode_Keuze,SubsidieTabel!$Q$1:$T$1,0),2))&lt;&gt;1=TRUE,"ja",""),"")</f>
        <v/>
      </c>
    </row>
    <row r="869" spans="1:27" ht="15" customHeight="1" x14ac:dyDescent="0.25">
      <c r="A869" s="85"/>
      <c r="B869" s="217" t="str">
        <f>IF(A869&lt;&gt;"",_xlfn.MAXIFS($B$1:B868,$A$1:A868,A869)+1,"")</f>
        <v/>
      </c>
      <c r="C869" s="50"/>
      <c r="D869" s="50"/>
      <c r="E869" s="50"/>
      <c r="F869" s="50"/>
      <c r="G869" s="280"/>
      <c r="H869" s="293"/>
      <c r="I869" s="292"/>
      <c r="J869" s="292"/>
      <c r="K869" s="200"/>
      <c r="L869" s="200"/>
      <c r="M869" s="89" t="str">
        <f>IFERROR(VLOOKUP(H869,Lijsten!$H$1:$I$100,2,0),"")</f>
        <v/>
      </c>
      <c r="N869" s="89" t="str" cm="1">
        <f t="array" ref="N869">IFERROR(_xlfn.IFS(AND(LEFT(F869,6)="Arbeid",RIGHT(F869,3)&lt;&gt;"IKS"),IFERROR(VLOOKUP($G869,Tb_KostenTypen[],2,0),"tarief"),RIGHT(F869,3)="IKS","Uurtarief",LEFT(F869,6)="Arbeid","Uurtarief",AND(LEFT(F869,8)="Bijdrage",RIGHT(F869,15)="(vrijwilligers)"),"Vast tarief"),"")</f>
        <v/>
      </c>
      <c r="O869" s="90"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0"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1"/>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59"/>
      <c r="Z869" s="49"/>
      <c r="AA869" s="37" t="str" cm="1">
        <f t="array" ref="AA869">IFERROR(IF(INDEX(SubsidieTabel!$Q$1:$T$9,MATCH($F869,SubsidieTabel!$Q$1:$Q$9,0),IFERROR(MATCH(Methode_Keuze,SubsidieTabel!$Q$1:$T$1,0),2))&lt;&gt;1=TRUE,"ja",""),"")</f>
        <v/>
      </c>
    </row>
    <row r="870" spans="1:27" ht="15" customHeight="1" x14ac:dyDescent="0.25">
      <c r="A870" s="85"/>
      <c r="B870" s="217" t="str">
        <f>IF(A870&lt;&gt;"",_xlfn.MAXIFS($B$1:B869,$A$1:A869,A870)+1,"")</f>
        <v/>
      </c>
      <c r="C870" s="50"/>
      <c r="D870" s="50"/>
      <c r="E870" s="50"/>
      <c r="F870" s="50"/>
      <c r="G870" s="280"/>
      <c r="H870" s="293"/>
      <c r="I870" s="292"/>
      <c r="J870" s="292"/>
      <c r="K870" s="200"/>
      <c r="L870" s="200"/>
      <c r="M870" s="89" t="str">
        <f>IFERROR(VLOOKUP(H870,Lijsten!$H$1:$I$100,2,0),"")</f>
        <v/>
      </c>
      <c r="N870" s="89" t="str" cm="1">
        <f t="array" ref="N870">IFERROR(_xlfn.IFS(AND(LEFT(F870,6)="Arbeid",RIGHT(F870,3)&lt;&gt;"IKS"),IFERROR(VLOOKUP($G870,Tb_KostenTypen[],2,0),"tarief"),RIGHT(F870,3)="IKS","Uurtarief",LEFT(F870,6)="Arbeid","Uurtarief",AND(LEFT(F870,8)="Bijdrage",RIGHT(F870,15)="(vrijwilligers)"),"Vast tarief"),"")</f>
        <v/>
      </c>
      <c r="O870" s="90"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0"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1"/>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59"/>
      <c r="Z870" s="49"/>
      <c r="AA870" s="37" t="str" cm="1">
        <f t="array" ref="AA870">IFERROR(IF(INDEX(SubsidieTabel!$Q$1:$T$9,MATCH($F870,SubsidieTabel!$Q$1:$Q$9,0),IFERROR(MATCH(Methode_Keuze,SubsidieTabel!$Q$1:$T$1,0),2))&lt;&gt;1=TRUE,"ja",""),"")</f>
        <v/>
      </c>
    </row>
    <row r="871" spans="1:27" ht="15" customHeight="1" x14ac:dyDescent="0.25">
      <c r="A871" s="85"/>
      <c r="B871" s="217" t="str">
        <f>IF(A871&lt;&gt;"",_xlfn.MAXIFS($B$1:B870,$A$1:A870,A871)+1,"")</f>
        <v/>
      </c>
      <c r="C871" s="50"/>
      <c r="D871" s="50"/>
      <c r="E871" s="50"/>
      <c r="F871" s="50"/>
      <c r="G871" s="280"/>
      <c r="H871" s="293"/>
      <c r="I871" s="292"/>
      <c r="J871" s="292"/>
      <c r="K871" s="200"/>
      <c r="L871" s="200"/>
      <c r="M871" s="89" t="str">
        <f>IFERROR(VLOOKUP(H871,Lijsten!$H$1:$I$100,2,0),"")</f>
        <v/>
      </c>
      <c r="N871" s="89" t="str" cm="1">
        <f t="array" ref="N871">IFERROR(_xlfn.IFS(AND(LEFT(F871,6)="Arbeid",RIGHT(F871,3)&lt;&gt;"IKS"),IFERROR(VLOOKUP($G871,Tb_KostenTypen[],2,0),"tarief"),RIGHT(F871,3)="IKS","Uurtarief",LEFT(F871,6)="Arbeid","Uurtarief",AND(LEFT(F871,8)="Bijdrage",RIGHT(F871,15)="(vrijwilligers)"),"Vast tarief"),"")</f>
        <v/>
      </c>
      <c r="O871" s="90"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0"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1"/>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59"/>
      <c r="Z871" s="49"/>
      <c r="AA871" s="37" t="str" cm="1">
        <f t="array" ref="AA871">IFERROR(IF(INDEX(SubsidieTabel!$Q$1:$T$9,MATCH($F871,SubsidieTabel!$Q$1:$Q$9,0),IFERROR(MATCH(Methode_Keuze,SubsidieTabel!$Q$1:$T$1,0),2))&lt;&gt;1=TRUE,"ja",""),"")</f>
        <v/>
      </c>
    </row>
    <row r="872" spans="1:27" ht="15" customHeight="1" x14ac:dyDescent="0.25">
      <c r="A872" s="85"/>
      <c r="B872" s="217" t="str">
        <f>IF(A872&lt;&gt;"",_xlfn.MAXIFS($B$1:B871,$A$1:A871,A872)+1,"")</f>
        <v/>
      </c>
      <c r="C872" s="50"/>
      <c r="D872" s="50"/>
      <c r="E872" s="50"/>
      <c r="F872" s="50"/>
      <c r="G872" s="280"/>
      <c r="H872" s="293"/>
      <c r="I872" s="292"/>
      <c r="J872" s="292"/>
      <c r="K872" s="200"/>
      <c r="L872" s="200"/>
      <c r="M872" s="89" t="str">
        <f>IFERROR(VLOOKUP(H872,Lijsten!$H$1:$I$100,2,0),"")</f>
        <v/>
      </c>
      <c r="N872" s="89" t="str" cm="1">
        <f t="array" ref="N872">IFERROR(_xlfn.IFS(AND(LEFT(F872,6)="Arbeid",RIGHT(F872,3)&lt;&gt;"IKS"),IFERROR(VLOOKUP($G872,Tb_KostenTypen[],2,0),"tarief"),RIGHT(F872,3)="IKS","Uurtarief",LEFT(F872,6)="Arbeid","Uurtarief",AND(LEFT(F872,8)="Bijdrage",RIGHT(F872,15)="(vrijwilligers)"),"Vast tarief"),"")</f>
        <v/>
      </c>
      <c r="O872" s="90"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0"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1"/>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59"/>
      <c r="Z872" s="49"/>
      <c r="AA872" s="37" t="str" cm="1">
        <f t="array" ref="AA872">IFERROR(IF(INDEX(SubsidieTabel!$Q$1:$T$9,MATCH($F872,SubsidieTabel!$Q$1:$Q$9,0),IFERROR(MATCH(Methode_Keuze,SubsidieTabel!$Q$1:$T$1,0),2))&lt;&gt;1=TRUE,"ja",""),"")</f>
        <v/>
      </c>
    </row>
    <row r="873" spans="1:27" ht="15" customHeight="1" x14ac:dyDescent="0.25">
      <c r="A873" s="85"/>
      <c r="B873" s="217" t="str">
        <f>IF(A873&lt;&gt;"",_xlfn.MAXIFS($B$1:B872,$A$1:A872,A873)+1,"")</f>
        <v/>
      </c>
      <c r="C873" s="50"/>
      <c r="D873" s="50"/>
      <c r="E873" s="50"/>
      <c r="F873" s="50"/>
      <c r="G873" s="280"/>
      <c r="H873" s="293"/>
      <c r="I873" s="292"/>
      <c r="J873" s="292"/>
      <c r="K873" s="200"/>
      <c r="L873" s="200"/>
      <c r="M873" s="89" t="str">
        <f>IFERROR(VLOOKUP(H873,Lijsten!$H$1:$I$100,2,0),"")</f>
        <v/>
      </c>
      <c r="N873" s="89" t="str" cm="1">
        <f t="array" ref="N873">IFERROR(_xlfn.IFS(AND(LEFT(F873,6)="Arbeid",RIGHT(F873,3)&lt;&gt;"IKS"),IFERROR(VLOOKUP($G873,Tb_KostenTypen[],2,0),"tarief"),RIGHT(F873,3)="IKS","Uurtarief",LEFT(F873,6)="Arbeid","Uurtarief",AND(LEFT(F873,8)="Bijdrage",RIGHT(F873,15)="(vrijwilligers)"),"Vast tarief"),"")</f>
        <v/>
      </c>
      <c r="O873" s="90"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0"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1"/>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59"/>
      <c r="Z873" s="49"/>
      <c r="AA873" s="37" t="str" cm="1">
        <f t="array" ref="AA873">IFERROR(IF(INDEX(SubsidieTabel!$Q$1:$T$9,MATCH($F873,SubsidieTabel!$Q$1:$Q$9,0),IFERROR(MATCH(Methode_Keuze,SubsidieTabel!$Q$1:$T$1,0),2))&lt;&gt;1=TRUE,"ja",""),"")</f>
        <v/>
      </c>
    </row>
    <row r="874" spans="1:27" ht="15" customHeight="1" x14ac:dyDescent="0.25">
      <c r="A874" s="85"/>
      <c r="B874" s="217" t="str">
        <f>IF(A874&lt;&gt;"",_xlfn.MAXIFS($B$1:B873,$A$1:A873,A874)+1,"")</f>
        <v/>
      </c>
      <c r="C874" s="50"/>
      <c r="D874" s="50"/>
      <c r="E874" s="50"/>
      <c r="F874" s="50"/>
      <c r="G874" s="280"/>
      <c r="H874" s="293"/>
      <c r="I874" s="292"/>
      <c r="J874" s="292"/>
      <c r="K874" s="200"/>
      <c r="L874" s="200"/>
      <c r="M874" s="89" t="str">
        <f>IFERROR(VLOOKUP(H874,Lijsten!$H$1:$I$100,2,0),"")</f>
        <v/>
      </c>
      <c r="N874" s="89" t="str" cm="1">
        <f t="array" ref="N874">IFERROR(_xlfn.IFS(AND(LEFT(F874,6)="Arbeid",RIGHT(F874,3)&lt;&gt;"IKS"),IFERROR(VLOOKUP($G874,Tb_KostenTypen[],2,0),"tarief"),RIGHT(F874,3)="IKS","Uurtarief",LEFT(F874,6)="Arbeid","Uurtarief",AND(LEFT(F874,8)="Bijdrage",RIGHT(F874,15)="(vrijwilligers)"),"Vast tarief"),"")</f>
        <v/>
      </c>
      <c r="O874" s="90"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0"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1"/>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59"/>
      <c r="Z874" s="49"/>
      <c r="AA874" s="37" t="str" cm="1">
        <f t="array" ref="AA874">IFERROR(IF(INDEX(SubsidieTabel!$Q$1:$T$9,MATCH($F874,SubsidieTabel!$Q$1:$Q$9,0),IFERROR(MATCH(Methode_Keuze,SubsidieTabel!$Q$1:$T$1,0),2))&lt;&gt;1=TRUE,"ja",""),"")</f>
        <v/>
      </c>
    </row>
    <row r="875" spans="1:27" ht="15" customHeight="1" x14ac:dyDescent="0.25">
      <c r="A875" s="85"/>
      <c r="B875" s="217" t="str">
        <f>IF(A875&lt;&gt;"",_xlfn.MAXIFS($B$1:B874,$A$1:A874,A875)+1,"")</f>
        <v/>
      </c>
      <c r="C875" s="50"/>
      <c r="D875" s="50"/>
      <c r="E875" s="50"/>
      <c r="F875" s="50"/>
      <c r="G875" s="280"/>
      <c r="H875" s="293"/>
      <c r="I875" s="292"/>
      <c r="J875" s="292"/>
      <c r="K875" s="200"/>
      <c r="L875" s="200"/>
      <c r="M875" s="89" t="str">
        <f>IFERROR(VLOOKUP(H875,Lijsten!$H$1:$I$100,2,0),"")</f>
        <v/>
      </c>
      <c r="N875" s="89" t="str" cm="1">
        <f t="array" ref="N875">IFERROR(_xlfn.IFS(AND(LEFT(F875,6)="Arbeid",RIGHT(F875,3)&lt;&gt;"IKS"),IFERROR(VLOOKUP($G875,Tb_KostenTypen[],2,0),"tarief"),RIGHT(F875,3)="IKS","Uurtarief",LEFT(F875,6)="Arbeid","Uurtarief",AND(LEFT(F875,8)="Bijdrage",RIGHT(F875,15)="(vrijwilligers)"),"Vast tarief"),"")</f>
        <v/>
      </c>
      <c r="O875" s="90"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0"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1"/>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59"/>
      <c r="Z875" s="49"/>
      <c r="AA875" s="37" t="str" cm="1">
        <f t="array" ref="AA875">IFERROR(IF(INDEX(SubsidieTabel!$Q$1:$T$9,MATCH($F875,SubsidieTabel!$Q$1:$Q$9,0),IFERROR(MATCH(Methode_Keuze,SubsidieTabel!$Q$1:$T$1,0),2))&lt;&gt;1=TRUE,"ja",""),"")</f>
        <v/>
      </c>
    </row>
    <row r="876" spans="1:27" ht="15" customHeight="1" x14ac:dyDescent="0.25">
      <c r="A876" s="85"/>
      <c r="B876" s="217" t="str">
        <f>IF(A876&lt;&gt;"",_xlfn.MAXIFS($B$1:B875,$A$1:A875,A876)+1,"")</f>
        <v/>
      </c>
      <c r="C876" s="50"/>
      <c r="D876" s="50"/>
      <c r="E876" s="50"/>
      <c r="F876" s="50"/>
      <c r="G876" s="280"/>
      <c r="H876" s="293"/>
      <c r="I876" s="292"/>
      <c r="J876" s="292"/>
      <c r="K876" s="200"/>
      <c r="L876" s="200"/>
      <c r="M876" s="89" t="str">
        <f>IFERROR(VLOOKUP(H876,Lijsten!$H$1:$I$100,2,0),"")</f>
        <v/>
      </c>
      <c r="N876" s="89" t="str" cm="1">
        <f t="array" ref="N876">IFERROR(_xlfn.IFS(AND(LEFT(F876,6)="Arbeid",RIGHT(F876,3)&lt;&gt;"IKS"),IFERROR(VLOOKUP($G876,Tb_KostenTypen[],2,0),"tarief"),RIGHT(F876,3)="IKS","Uurtarief",LEFT(F876,6)="Arbeid","Uurtarief",AND(LEFT(F876,8)="Bijdrage",RIGHT(F876,15)="(vrijwilligers)"),"Vast tarief"),"")</f>
        <v/>
      </c>
      <c r="O876" s="90"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0"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1"/>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59"/>
      <c r="Z876" s="49"/>
      <c r="AA876" s="37" t="str" cm="1">
        <f t="array" ref="AA876">IFERROR(IF(INDEX(SubsidieTabel!$Q$1:$T$9,MATCH($F876,SubsidieTabel!$Q$1:$Q$9,0),IFERROR(MATCH(Methode_Keuze,SubsidieTabel!$Q$1:$T$1,0),2))&lt;&gt;1=TRUE,"ja",""),"")</f>
        <v/>
      </c>
    </row>
    <row r="877" spans="1:27" ht="15" customHeight="1" x14ac:dyDescent="0.25">
      <c r="A877" s="85"/>
      <c r="B877" s="217" t="str">
        <f>IF(A877&lt;&gt;"",_xlfn.MAXIFS($B$1:B876,$A$1:A876,A877)+1,"")</f>
        <v/>
      </c>
      <c r="C877" s="50"/>
      <c r="D877" s="50"/>
      <c r="E877" s="50"/>
      <c r="F877" s="50"/>
      <c r="G877" s="280"/>
      <c r="H877" s="293"/>
      <c r="I877" s="292"/>
      <c r="J877" s="292"/>
      <c r="K877" s="200"/>
      <c r="L877" s="200"/>
      <c r="M877" s="89" t="str">
        <f>IFERROR(VLOOKUP(H877,Lijsten!$H$1:$I$100,2,0),"")</f>
        <v/>
      </c>
      <c r="N877" s="89" t="str" cm="1">
        <f t="array" ref="N877">IFERROR(_xlfn.IFS(AND(LEFT(F877,6)="Arbeid",RIGHT(F877,3)&lt;&gt;"IKS"),IFERROR(VLOOKUP($G877,Tb_KostenTypen[],2,0),"tarief"),RIGHT(F877,3)="IKS","Uurtarief",LEFT(F877,6)="Arbeid","Uurtarief",AND(LEFT(F877,8)="Bijdrage",RIGHT(F877,15)="(vrijwilligers)"),"Vast tarief"),"")</f>
        <v/>
      </c>
      <c r="O877" s="90"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0"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1"/>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59"/>
      <c r="Z877" s="49"/>
      <c r="AA877" s="37" t="str" cm="1">
        <f t="array" ref="AA877">IFERROR(IF(INDEX(SubsidieTabel!$Q$1:$T$9,MATCH($F877,SubsidieTabel!$Q$1:$Q$9,0),IFERROR(MATCH(Methode_Keuze,SubsidieTabel!$Q$1:$T$1,0),2))&lt;&gt;1=TRUE,"ja",""),"")</f>
        <v/>
      </c>
    </row>
    <row r="878" spans="1:27" ht="15" customHeight="1" x14ac:dyDescent="0.25">
      <c r="A878" s="85"/>
      <c r="B878" s="217" t="str">
        <f>IF(A878&lt;&gt;"",_xlfn.MAXIFS($B$1:B877,$A$1:A877,A878)+1,"")</f>
        <v/>
      </c>
      <c r="C878" s="50"/>
      <c r="D878" s="50"/>
      <c r="E878" s="50"/>
      <c r="F878" s="50"/>
      <c r="G878" s="280"/>
      <c r="H878" s="293"/>
      <c r="I878" s="292"/>
      <c r="J878" s="292"/>
      <c r="K878" s="200"/>
      <c r="L878" s="200"/>
      <c r="M878" s="89" t="str">
        <f>IFERROR(VLOOKUP(H878,Lijsten!$H$1:$I$100,2,0),"")</f>
        <v/>
      </c>
      <c r="N878" s="89" t="str" cm="1">
        <f t="array" ref="N878">IFERROR(_xlfn.IFS(AND(LEFT(F878,6)="Arbeid",RIGHT(F878,3)&lt;&gt;"IKS"),IFERROR(VLOOKUP($G878,Tb_KostenTypen[],2,0),"tarief"),RIGHT(F878,3)="IKS","Uurtarief",LEFT(F878,6)="Arbeid","Uurtarief",AND(LEFT(F878,8)="Bijdrage",RIGHT(F878,15)="(vrijwilligers)"),"Vast tarief"),"")</f>
        <v/>
      </c>
      <c r="O878" s="90"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0"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1"/>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59"/>
      <c r="Z878" s="49"/>
      <c r="AA878" s="37" t="str" cm="1">
        <f t="array" ref="AA878">IFERROR(IF(INDEX(SubsidieTabel!$Q$1:$T$9,MATCH($F878,SubsidieTabel!$Q$1:$Q$9,0),IFERROR(MATCH(Methode_Keuze,SubsidieTabel!$Q$1:$T$1,0),2))&lt;&gt;1=TRUE,"ja",""),"")</f>
        <v/>
      </c>
    </row>
    <row r="879" spans="1:27" ht="15" customHeight="1" x14ac:dyDescent="0.25">
      <c r="A879" s="85"/>
      <c r="B879" s="217" t="str">
        <f>IF(A879&lt;&gt;"",_xlfn.MAXIFS($B$1:B878,$A$1:A878,A879)+1,"")</f>
        <v/>
      </c>
      <c r="C879" s="50"/>
      <c r="D879" s="50"/>
      <c r="E879" s="50"/>
      <c r="F879" s="50"/>
      <c r="G879" s="280"/>
      <c r="H879" s="293"/>
      <c r="I879" s="292"/>
      <c r="J879" s="292"/>
      <c r="K879" s="200"/>
      <c r="L879" s="200"/>
      <c r="M879" s="89" t="str">
        <f>IFERROR(VLOOKUP(H879,Lijsten!$H$1:$I$100,2,0),"")</f>
        <v/>
      </c>
      <c r="N879" s="89" t="str" cm="1">
        <f t="array" ref="N879">IFERROR(_xlfn.IFS(AND(LEFT(F879,6)="Arbeid",RIGHT(F879,3)&lt;&gt;"IKS"),IFERROR(VLOOKUP($G879,Tb_KostenTypen[],2,0),"tarief"),RIGHT(F879,3)="IKS","Uurtarief",LEFT(F879,6)="Arbeid","Uurtarief",AND(LEFT(F879,8)="Bijdrage",RIGHT(F879,15)="(vrijwilligers)"),"Vast tarief"),"")</f>
        <v/>
      </c>
      <c r="O879" s="90"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0"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1"/>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59"/>
      <c r="Z879" s="49"/>
      <c r="AA879" s="37" t="str" cm="1">
        <f t="array" ref="AA879">IFERROR(IF(INDEX(SubsidieTabel!$Q$1:$T$9,MATCH($F879,SubsidieTabel!$Q$1:$Q$9,0),IFERROR(MATCH(Methode_Keuze,SubsidieTabel!$Q$1:$T$1,0),2))&lt;&gt;1=TRUE,"ja",""),"")</f>
        <v/>
      </c>
    </row>
    <row r="880" spans="1:27" ht="15" customHeight="1" x14ac:dyDescent="0.25">
      <c r="A880" s="85"/>
      <c r="B880" s="217" t="str">
        <f>IF(A880&lt;&gt;"",_xlfn.MAXIFS($B$1:B879,$A$1:A879,A880)+1,"")</f>
        <v/>
      </c>
      <c r="C880" s="50"/>
      <c r="D880" s="50"/>
      <c r="E880" s="50"/>
      <c r="F880" s="50"/>
      <c r="G880" s="280"/>
      <c r="H880" s="293"/>
      <c r="I880" s="292"/>
      <c r="J880" s="292"/>
      <c r="K880" s="200"/>
      <c r="L880" s="200"/>
      <c r="M880" s="89" t="str">
        <f>IFERROR(VLOOKUP(H880,Lijsten!$H$1:$I$100,2,0),"")</f>
        <v/>
      </c>
      <c r="N880" s="89" t="str" cm="1">
        <f t="array" ref="N880">IFERROR(_xlfn.IFS(AND(LEFT(F880,6)="Arbeid",RIGHT(F880,3)&lt;&gt;"IKS"),IFERROR(VLOOKUP($G880,Tb_KostenTypen[],2,0),"tarief"),RIGHT(F880,3)="IKS","Uurtarief",LEFT(F880,6)="Arbeid","Uurtarief",AND(LEFT(F880,8)="Bijdrage",RIGHT(F880,15)="(vrijwilligers)"),"Vast tarief"),"")</f>
        <v/>
      </c>
      <c r="O880" s="90"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0"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1"/>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59"/>
      <c r="Z880" s="49"/>
      <c r="AA880" s="37" t="str" cm="1">
        <f t="array" ref="AA880">IFERROR(IF(INDEX(SubsidieTabel!$Q$1:$T$9,MATCH($F880,SubsidieTabel!$Q$1:$Q$9,0),IFERROR(MATCH(Methode_Keuze,SubsidieTabel!$Q$1:$T$1,0),2))&lt;&gt;1=TRUE,"ja",""),"")</f>
        <v/>
      </c>
    </row>
    <row r="881" spans="1:27" ht="15" customHeight="1" x14ac:dyDescent="0.25">
      <c r="A881" s="85"/>
      <c r="B881" s="217" t="str">
        <f>IF(A881&lt;&gt;"",_xlfn.MAXIFS($B$1:B880,$A$1:A880,A881)+1,"")</f>
        <v/>
      </c>
      <c r="C881" s="50"/>
      <c r="D881" s="50"/>
      <c r="E881" s="50"/>
      <c r="F881" s="50"/>
      <c r="G881" s="280"/>
      <c r="H881" s="293"/>
      <c r="I881" s="292"/>
      <c r="J881" s="292"/>
      <c r="K881" s="200"/>
      <c r="L881" s="200"/>
      <c r="M881" s="89" t="str">
        <f>IFERROR(VLOOKUP(H881,Lijsten!$H$1:$I$100,2,0),"")</f>
        <v/>
      </c>
      <c r="N881" s="89" t="str" cm="1">
        <f t="array" ref="N881">IFERROR(_xlfn.IFS(AND(LEFT(F881,6)="Arbeid",RIGHT(F881,3)&lt;&gt;"IKS"),IFERROR(VLOOKUP($G881,Tb_KostenTypen[],2,0),"tarief"),RIGHT(F881,3)="IKS","Uurtarief",LEFT(F881,6)="Arbeid","Uurtarief",AND(LEFT(F881,8)="Bijdrage",RIGHT(F881,15)="(vrijwilligers)"),"Vast tarief"),"")</f>
        <v/>
      </c>
      <c r="O881" s="90"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0"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1"/>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59"/>
      <c r="Z881" s="49"/>
      <c r="AA881" s="37" t="str" cm="1">
        <f t="array" ref="AA881">IFERROR(IF(INDEX(SubsidieTabel!$Q$1:$T$9,MATCH($F881,SubsidieTabel!$Q$1:$Q$9,0),IFERROR(MATCH(Methode_Keuze,SubsidieTabel!$Q$1:$T$1,0),2))&lt;&gt;1=TRUE,"ja",""),"")</f>
        <v/>
      </c>
    </row>
    <row r="882" spans="1:27" ht="15" customHeight="1" x14ac:dyDescent="0.25">
      <c r="A882" s="85"/>
      <c r="B882" s="217" t="str">
        <f>IF(A882&lt;&gt;"",_xlfn.MAXIFS($B$1:B881,$A$1:A881,A882)+1,"")</f>
        <v/>
      </c>
      <c r="C882" s="50"/>
      <c r="D882" s="50"/>
      <c r="E882" s="50"/>
      <c r="F882" s="50"/>
      <c r="G882" s="280"/>
      <c r="H882" s="293"/>
      <c r="I882" s="292"/>
      <c r="J882" s="292"/>
      <c r="K882" s="200"/>
      <c r="L882" s="200"/>
      <c r="M882" s="89" t="str">
        <f>IFERROR(VLOOKUP(H882,Lijsten!$H$1:$I$100,2,0),"")</f>
        <v/>
      </c>
      <c r="N882" s="89" t="str" cm="1">
        <f t="array" ref="N882">IFERROR(_xlfn.IFS(AND(LEFT(F882,6)="Arbeid",RIGHT(F882,3)&lt;&gt;"IKS"),IFERROR(VLOOKUP($G882,Tb_KostenTypen[],2,0),"tarief"),RIGHT(F882,3)="IKS","Uurtarief",LEFT(F882,6)="Arbeid","Uurtarief",AND(LEFT(F882,8)="Bijdrage",RIGHT(F882,15)="(vrijwilligers)"),"Vast tarief"),"")</f>
        <v/>
      </c>
      <c r="O882" s="90"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0"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1"/>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59"/>
      <c r="Z882" s="49"/>
      <c r="AA882" s="37" t="str" cm="1">
        <f t="array" ref="AA882">IFERROR(IF(INDEX(SubsidieTabel!$Q$1:$T$9,MATCH($F882,SubsidieTabel!$Q$1:$Q$9,0),IFERROR(MATCH(Methode_Keuze,SubsidieTabel!$Q$1:$T$1,0),2))&lt;&gt;1=TRUE,"ja",""),"")</f>
        <v/>
      </c>
    </row>
    <row r="883" spans="1:27" ht="15" customHeight="1" x14ac:dyDescent="0.25">
      <c r="A883" s="85"/>
      <c r="B883" s="217" t="str">
        <f>IF(A883&lt;&gt;"",_xlfn.MAXIFS($B$1:B882,$A$1:A882,A883)+1,"")</f>
        <v/>
      </c>
      <c r="C883" s="50"/>
      <c r="D883" s="50"/>
      <c r="E883" s="50"/>
      <c r="F883" s="50"/>
      <c r="G883" s="280"/>
      <c r="H883" s="293"/>
      <c r="I883" s="292"/>
      <c r="J883" s="292"/>
      <c r="K883" s="200"/>
      <c r="L883" s="200"/>
      <c r="M883" s="89" t="str">
        <f>IFERROR(VLOOKUP(H883,Lijsten!$H$1:$I$100,2,0),"")</f>
        <v/>
      </c>
      <c r="N883" s="89" t="str" cm="1">
        <f t="array" ref="N883">IFERROR(_xlfn.IFS(AND(LEFT(F883,6)="Arbeid",RIGHT(F883,3)&lt;&gt;"IKS"),IFERROR(VLOOKUP($G883,Tb_KostenTypen[],2,0),"tarief"),RIGHT(F883,3)="IKS","Uurtarief",LEFT(F883,6)="Arbeid","Uurtarief",AND(LEFT(F883,8)="Bijdrage",RIGHT(F883,15)="(vrijwilligers)"),"Vast tarief"),"")</f>
        <v/>
      </c>
      <c r="O883" s="90"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0"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1"/>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59"/>
      <c r="Z883" s="49"/>
      <c r="AA883" s="37" t="str" cm="1">
        <f t="array" ref="AA883">IFERROR(IF(INDEX(SubsidieTabel!$Q$1:$T$9,MATCH($F883,SubsidieTabel!$Q$1:$Q$9,0),IFERROR(MATCH(Methode_Keuze,SubsidieTabel!$Q$1:$T$1,0),2))&lt;&gt;1=TRUE,"ja",""),"")</f>
        <v/>
      </c>
    </row>
    <row r="884" spans="1:27" ht="15" customHeight="1" x14ac:dyDescent="0.25">
      <c r="A884" s="85"/>
      <c r="B884" s="217" t="str">
        <f>IF(A884&lt;&gt;"",_xlfn.MAXIFS($B$1:B883,$A$1:A883,A884)+1,"")</f>
        <v/>
      </c>
      <c r="C884" s="50"/>
      <c r="D884" s="50"/>
      <c r="E884" s="50"/>
      <c r="F884" s="50"/>
      <c r="G884" s="280"/>
      <c r="H884" s="293"/>
      <c r="I884" s="292"/>
      <c r="J884" s="292"/>
      <c r="K884" s="200"/>
      <c r="L884" s="200"/>
      <c r="M884" s="89" t="str">
        <f>IFERROR(VLOOKUP(H884,Lijsten!$H$1:$I$100,2,0),"")</f>
        <v/>
      </c>
      <c r="N884" s="89" t="str" cm="1">
        <f t="array" ref="N884">IFERROR(_xlfn.IFS(AND(LEFT(F884,6)="Arbeid",RIGHT(F884,3)&lt;&gt;"IKS"),IFERROR(VLOOKUP($G884,Tb_KostenTypen[],2,0),"tarief"),RIGHT(F884,3)="IKS","Uurtarief",LEFT(F884,6)="Arbeid","Uurtarief",AND(LEFT(F884,8)="Bijdrage",RIGHT(F884,15)="(vrijwilligers)"),"Vast tarief"),"")</f>
        <v/>
      </c>
      <c r="O884" s="90"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0"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1"/>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59"/>
      <c r="Z884" s="49"/>
      <c r="AA884" s="37" t="str" cm="1">
        <f t="array" ref="AA884">IFERROR(IF(INDEX(SubsidieTabel!$Q$1:$T$9,MATCH($F884,SubsidieTabel!$Q$1:$Q$9,0),IFERROR(MATCH(Methode_Keuze,SubsidieTabel!$Q$1:$T$1,0),2))&lt;&gt;1=TRUE,"ja",""),"")</f>
        <v/>
      </c>
    </row>
    <row r="885" spans="1:27" ht="15" customHeight="1" x14ac:dyDescent="0.25">
      <c r="A885" s="85"/>
      <c r="B885" s="217" t="str">
        <f>IF(A885&lt;&gt;"",_xlfn.MAXIFS($B$1:B884,$A$1:A884,A885)+1,"")</f>
        <v/>
      </c>
      <c r="C885" s="50"/>
      <c r="D885" s="50"/>
      <c r="E885" s="50"/>
      <c r="F885" s="50"/>
      <c r="G885" s="280"/>
      <c r="H885" s="293"/>
      <c r="I885" s="292"/>
      <c r="J885" s="292"/>
      <c r="K885" s="200"/>
      <c r="L885" s="200"/>
      <c r="M885" s="89" t="str">
        <f>IFERROR(VLOOKUP(H885,Lijsten!$H$1:$I$100,2,0),"")</f>
        <v/>
      </c>
      <c r="N885" s="89" t="str" cm="1">
        <f t="array" ref="N885">IFERROR(_xlfn.IFS(AND(LEFT(F885,6)="Arbeid",RIGHT(F885,3)&lt;&gt;"IKS"),IFERROR(VLOOKUP($G885,Tb_KostenTypen[],2,0),"tarief"),RIGHT(F885,3)="IKS","Uurtarief",LEFT(F885,6)="Arbeid","Uurtarief",AND(LEFT(F885,8)="Bijdrage",RIGHT(F885,15)="(vrijwilligers)"),"Vast tarief"),"")</f>
        <v/>
      </c>
      <c r="O885" s="90"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0"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1"/>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59"/>
      <c r="Z885" s="49"/>
      <c r="AA885" s="37" t="str" cm="1">
        <f t="array" ref="AA885">IFERROR(IF(INDEX(SubsidieTabel!$Q$1:$T$9,MATCH($F885,SubsidieTabel!$Q$1:$Q$9,0),IFERROR(MATCH(Methode_Keuze,SubsidieTabel!$Q$1:$T$1,0),2))&lt;&gt;1=TRUE,"ja",""),"")</f>
        <v/>
      </c>
    </row>
    <row r="886" spans="1:27" ht="15" customHeight="1" x14ac:dyDescent="0.25">
      <c r="A886" s="85"/>
      <c r="B886" s="217" t="str">
        <f>IF(A886&lt;&gt;"",_xlfn.MAXIFS($B$1:B885,$A$1:A885,A886)+1,"")</f>
        <v/>
      </c>
      <c r="C886" s="50"/>
      <c r="D886" s="50"/>
      <c r="E886" s="50"/>
      <c r="F886" s="50"/>
      <c r="G886" s="280"/>
      <c r="H886" s="293"/>
      <c r="I886" s="292"/>
      <c r="J886" s="292"/>
      <c r="K886" s="200"/>
      <c r="L886" s="200"/>
      <c r="M886" s="89" t="str">
        <f>IFERROR(VLOOKUP(H886,Lijsten!$H$1:$I$100,2,0),"")</f>
        <v/>
      </c>
      <c r="N886" s="89" t="str" cm="1">
        <f t="array" ref="N886">IFERROR(_xlfn.IFS(AND(LEFT(F886,6)="Arbeid",RIGHT(F886,3)&lt;&gt;"IKS"),IFERROR(VLOOKUP($G886,Tb_KostenTypen[],2,0),"tarief"),RIGHT(F886,3)="IKS","Uurtarief",LEFT(F886,6)="Arbeid","Uurtarief",AND(LEFT(F886,8)="Bijdrage",RIGHT(F886,15)="(vrijwilligers)"),"Vast tarief"),"")</f>
        <v/>
      </c>
      <c r="O886" s="90"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0"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1"/>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59"/>
      <c r="Z886" s="49"/>
      <c r="AA886" s="37" t="str" cm="1">
        <f t="array" ref="AA886">IFERROR(IF(INDEX(SubsidieTabel!$Q$1:$T$9,MATCH($F886,SubsidieTabel!$Q$1:$Q$9,0),IFERROR(MATCH(Methode_Keuze,SubsidieTabel!$Q$1:$T$1,0),2))&lt;&gt;1=TRUE,"ja",""),"")</f>
        <v/>
      </c>
    </row>
    <row r="887" spans="1:27" ht="15" customHeight="1" x14ac:dyDescent="0.25">
      <c r="A887" s="85"/>
      <c r="B887" s="217" t="str">
        <f>IF(A887&lt;&gt;"",_xlfn.MAXIFS($B$1:B886,$A$1:A886,A887)+1,"")</f>
        <v/>
      </c>
      <c r="C887" s="50"/>
      <c r="D887" s="50"/>
      <c r="E887" s="50"/>
      <c r="F887" s="50"/>
      <c r="G887" s="280"/>
      <c r="H887" s="293"/>
      <c r="I887" s="292"/>
      <c r="J887" s="292"/>
      <c r="K887" s="200"/>
      <c r="L887" s="200"/>
      <c r="M887" s="89" t="str">
        <f>IFERROR(VLOOKUP(H887,Lijsten!$H$1:$I$100,2,0),"")</f>
        <v/>
      </c>
      <c r="N887" s="89" t="str" cm="1">
        <f t="array" ref="N887">IFERROR(_xlfn.IFS(AND(LEFT(F887,6)="Arbeid",RIGHT(F887,3)&lt;&gt;"IKS"),IFERROR(VLOOKUP($G887,Tb_KostenTypen[],2,0),"tarief"),RIGHT(F887,3)="IKS","Uurtarief",LEFT(F887,6)="Arbeid","Uurtarief",AND(LEFT(F887,8)="Bijdrage",RIGHT(F887,15)="(vrijwilligers)"),"Vast tarief"),"")</f>
        <v/>
      </c>
      <c r="O887" s="90"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0"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1"/>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59"/>
      <c r="Z887" s="49"/>
      <c r="AA887" s="37" t="str" cm="1">
        <f t="array" ref="AA887">IFERROR(IF(INDEX(SubsidieTabel!$Q$1:$T$9,MATCH($F887,SubsidieTabel!$Q$1:$Q$9,0),IFERROR(MATCH(Methode_Keuze,SubsidieTabel!$Q$1:$T$1,0),2))&lt;&gt;1=TRUE,"ja",""),"")</f>
        <v/>
      </c>
    </row>
    <row r="888" spans="1:27" ht="15" customHeight="1" x14ac:dyDescent="0.25">
      <c r="A888" s="85"/>
      <c r="B888" s="217" t="str">
        <f>IF(A888&lt;&gt;"",_xlfn.MAXIFS($B$1:B887,$A$1:A887,A888)+1,"")</f>
        <v/>
      </c>
      <c r="C888" s="50"/>
      <c r="D888" s="50"/>
      <c r="E888" s="50"/>
      <c r="F888" s="50"/>
      <c r="G888" s="280"/>
      <c r="H888" s="293"/>
      <c r="I888" s="292"/>
      <c r="J888" s="292"/>
      <c r="K888" s="200"/>
      <c r="L888" s="200"/>
      <c r="M888" s="89" t="str">
        <f>IFERROR(VLOOKUP(H888,Lijsten!$H$1:$I$100,2,0),"")</f>
        <v/>
      </c>
      <c r="N888" s="89" t="str" cm="1">
        <f t="array" ref="N888">IFERROR(_xlfn.IFS(AND(LEFT(F888,6)="Arbeid",RIGHT(F888,3)&lt;&gt;"IKS"),IFERROR(VLOOKUP($G888,Tb_KostenTypen[],2,0),"tarief"),RIGHT(F888,3)="IKS","Uurtarief",LEFT(F888,6)="Arbeid","Uurtarief",AND(LEFT(F888,8)="Bijdrage",RIGHT(F888,15)="(vrijwilligers)"),"Vast tarief"),"")</f>
        <v/>
      </c>
      <c r="O888" s="90"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0"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1"/>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59"/>
      <c r="Z888" s="49"/>
      <c r="AA888" s="37" t="str" cm="1">
        <f t="array" ref="AA888">IFERROR(IF(INDEX(SubsidieTabel!$Q$1:$T$9,MATCH($F888,SubsidieTabel!$Q$1:$Q$9,0),IFERROR(MATCH(Methode_Keuze,SubsidieTabel!$Q$1:$T$1,0),2))&lt;&gt;1=TRUE,"ja",""),"")</f>
        <v/>
      </c>
    </row>
    <row r="889" spans="1:27" ht="15" customHeight="1" x14ac:dyDescent="0.25">
      <c r="A889" s="85"/>
      <c r="B889" s="217" t="str">
        <f>IF(A889&lt;&gt;"",_xlfn.MAXIFS($B$1:B888,$A$1:A888,A889)+1,"")</f>
        <v/>
      </c>
      <c r="C889" s="50"/>
      <c r="D889" s="50"/>
      <c r="E889" s="50"/>
      <c r="F889" s="50"/>
      <c r="G889" s="280"/>
      <c r="H889" s="293"/>
      <c r="I889" s="292"/>
      <c r="J889" s="292"/>
      <c r="K889" s="200"/>
      <c r="L889" s="200"/>
      <c r="M889" s="89" t="str">
        <f>IFERROR(VLOOKUP(H889,Lijsten!$H$1:$I$100,2,0),"")</f>
        <v/>
      </c>
      <c r="N889" s="89" t="str" cm="1">
        <f t="array" ref="N889">IFERROR(_xlfn.IFS(AND(LEFT(F889,6)="Arbeid",RIGHT(F889,3)&lt;&gt;"IKS"),IFERROR(VLOOKUP($G889,Tb_KostenTypen[],2,0),"tarief"),RIGHT(F889,3)="IKS","Uurtarief",LEFT(F889,6)="Arbeid","Uurtarief",AND(LEFT(F889,8)="Bijdrage",RIGHT(F889,15)="(vrijwilligers)"),"Vast tarief"),"")</f>
        <v/>
      </c>
      <c r="O889" s="90"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0"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1"/>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59"/>
      <c r="Z889" s="49"/>
      <c r="AA889" s="37" t="str" cm="1">
        <f t="array" ref="AA889">IFERROR(IF(INDEX(SubsidieTabel!$Q$1:$T$9,MATCH($F889,SubsidieTabel!$Q$1:$Q$9,0),IFERROR(MATCH(Methode_Keuze,SubsidieTabel!$Q$1:$T$1,0),2))&lt;&gt;1=TRUE,"ja",""),"")</f>
        <v/>
      </c>
    </row>
    <row r="890" spans="1:27" ht="15" customHeight="1" x14ac:dyDescent="0.25">
      <c r="A890" s="85"/>
      <c r="B890" s="217" t="str">
        <f>IF(A890&lt;&gt;"",_xlfn.MAXIFS($B$1:B889,$A$1:A889,A890)+1,"")</f>
        <v/>
      </c>
      <c r="C890" s="50"/>
      <c r="D890" s="50"/>
      <c r="E890" s="50"/>
      <c r="F890" s="50"/>
      <c r="G890" s="280"/>
      <c r="H890" s="293"/>
      <c r="I890" s="292"/>
      <c r="J890" s="292"/>
      <c r="K890" s="200"/>
      <c r="L890" s="200"/>
      <c r="M890" s="89" t="str">
        <f>IFERROR(VLOOKUP(H890,Lijsten!$H$1:$I$100,2,0),"")</f>
        <v/>
      </c>
      <c r="N890" s="89" t="str" cm="1">
        <f t="array" ref="N890">IFERROR(_xlfn.IFS(AND(LEFT(F890,6)="Arbeid",RIGHT(F890,3)&lt;&gt;"IKS"),IFERROR(VLOOKUP($G890,Tb_KostenTypen[],2,0),"tarief"),RIGHT(F890,3)="IKS","Uurtarief",LEFT(F890,6)="Arbeid","Uurtarief",AND(LEFT(F890,8)="Bijdrage",RIGHT(F890,15)="(vrijwilligers)"),"Vast tarief"),"")</f>
        <v/>
      </c>
      <c r="O890" s="90"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0"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1"/>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59"/>
      <c r="Z890" s="49"/>
      <c r="AA890" s="37" t="str" cm="1">
        <f t="array" ref="AA890">IFERROR(IF(INDEX(SubsidieTabel!$Q$1:$T$9,MATCH($F890,SubsidieTabel!$Q$1:$Q$9,0),IFERROR(MATCH(Methode_Keuze,SubsidieTabel!$Q$1:$T$1,0),2))&lt;&gt;1=TRUE,"ja",""),"")</f>
        <v/>
      </c>
    </row>
    <row r="891" spans="1:27" ht="15" customHeight="1" x14ac:dyDescent="0.25">
      <c r="A891" s="85"/>
      <c r="B891" s="217" t="str">
        <f>IF(A891&lt;&gt;"",_xlfn.MAXIFS($B$1:B890,$A$1:A890,A891)+1,"")</f>
        <v/>
      </c>
      <c r="C891" s="50"/>
      <c r="D891" s="50"/>
      <c r="E891" s="50"/>
      <c r="F891" s="50"/>
      <c r="G891" s="280"/>
      <c r="H891" s="293"/>
      <c r="I891" s="292"/>
      <c r="J891" s="292"/>
      <c r="K891" s="200"/>
      <c r="L891" s="200"/>
      <c r="M891" s="89" t="str">
        <f>IFERROR(VLOOKUP(H891,Lijsten!$H$1:$I$100,2,0),"")</f>
        <v/>
      </c>
      <c r="N891" s="89" t="str" cm="1">
        <f t="array" ref="N891">IFERROR(_xlfn.IFS(AND(LEFT(F891,6)="Arbeid",RIGHT(F891,3)&lt;&gt;"IKS"),IFERROR(VLOOKUP($G891,Tb_KostenTypen[],2,0),"tarief"),RIGHT(F891,3)="IKS","Uurtarief",LEFT(F891,6)="Arbeid","Uurtarief",AND(LEFT(F891,8)="Bijdrage",RIGHT(F891,15)="(vrijwilligers)"),"Vast tarief"),"")</f>
        <v/>
      </c>
      <c r="O891" s="90"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0"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1"/>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59"/>
      <c r="Z891" s="49"/>
      <c r="AA891" s="37" t="str" cm="1">
        <f t="array" ref="AA891">IFERROR(IF(INDEX(SubsidieTabel!$Q$1:$T$9,MATCH($F891,SubsidieTabel!$Q$1:$Q$9,0),IFERROR(MATCH(Methode_Keuze,SubsidieTabel!$Q$1:$T$1,0),2))&lt;&gt;1=TRUE,"ja",""),"")</f>
        <v/>
      </c>
    </row>
    <row r="892" spans="1:27" ht="15" customHeight="1" x14ac:dyDescent="0.25">
      <c r="A892" s="85"/>
      <c r="B892" s="217" t="str">
        <f>IF(A892&lt;&gt;"",_xlfn.MAXIFS($B$1:B891,$A$1:A891,A892)+1,"")</f>
        <v/>
      </c>
      <c r="C892" s="50"/>
      <c r="D892" s="50"/>
      <c r="E892" s="50"/>
      <c r="F892" s="50"/>
      <c r="G892" s="280"/>
      <c r="H892" s="293"/>
      <c r="I892" s="292"/>
      <c r="J892" s="292"/>
      <c r="K892" s="200"/>
      <c r="L892" s="200"/>
      <c r="M892" s="89" t="str">
        <f>IFERROR(VLOOKUP(H892,Lijsten!$H$1:$I$100,2,0),"")</f>
        <v/>
      </c>
      <c r="N892" s="89" t="str" cm="1">
        <f t="array" ref="N892">IFERROR(_xlfn.IFS(AND(LEFT(F892,6)="Arbeid",RIGHT(F892,3)&lt;&gt;"IKS"),IFERROR(VLOOKUP($G892,Tb_KostenTypen[],2,0),"tarief"),RIGHT(F892,3)="IKS","Uurtarief",LEFT(F892,6)="Arbeid","Uurtarief",AND(LEFT(F892,8)="Bijdrage",RIGHT(F892,15)="(vrijwilligers)"),"Vast tarief"),"")</f>
        <v/>
      </c>
      <c r="O892" s="90"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0"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1"/>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59"/>
      <c r="Z892" s="49"/>
      <c r="AA892" s="37" t="str" cm="1">
        <f t="array" ref="AA892">IFERROR(IF(INDEX(SubsidieTabel!$Q$1:$T$9,MATCH($F892,SubsidieTabel!$Q$1:$Q$9,0),IFERROR(MATCH(Methode_Keuze,SubsidieTabel!$Q$1:$T$1,0),2))&lt;&gt;1=TRUE,"ja",""),"")</f>
        <v/>
      </c>
    </row>
    <row r="893" spans="1:27" ht="15" customHeight="1" x14ac:dyDescent="0.25">
      <c r="A893" s="85"/>
      <c r="B893" s="217" t="str">
        <f>IF(A893&lt;&gt;"",_xlfn.MAXIFS($B$1:B892,$A$1:A892,A893)+1,"")</f>
        <v/>
      </c>
      <c r="C893" s="50"/>
      <c r="D893" s="50"/>
      <c r="E893" s="50"/>
      <c r="F893" s="50"/>
      <c r="G893" s="280"/>
      <c r="H893" s="293"/>
      <c r="I893" s="292"/>
      <c r="J893" s="292"/>
      <c r="K893" s="200"/>
      <c r="L893" s="200"/>
      <c r="M893" s="89" t="str">
        <f>IFERROR(VLOOKUP(H893,Lijsten!$H$1:$I$100,2,0),"")</f>
        <v/>
      </c>
      <c r="N893" s="89" t="str" cm="1">
        <f t="array" ref="N893">IFERROR(_xlfn.IFS(AND(LEFT(F893,6)="Arbeid",RIGHT(F893,3)&lt;&gt;"IKS"),IFERROR(VLOOKUP($G893,Tb_KostenTypen[],2,0),"tarief"),RIGHT(F893,3)="IKS","Uurtarief",LEFT(F893,6)="Arbeid","Uurtarief",AND(LEFT(F893,8)="Bijdrage",RIGHT(F893,15)="(vrijwilligers)"),"Vast tarief"),"")</f>
        <v/>
      </c>
      <c r="O893" s="90"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0"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1"/>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59"/>
      <c r="Z893" s="49"/>
      <c r="AA893" s="37" t="str" cm="1">
        <f t="array" ref="AA893">IFERROR(IF(INDEX(SubsidieTabel!$Q$1:$T$9,MATCH($F893,SubsidieTabel!$Q$1:$Q$9,0),IFERROR(MATCH(Methode_Keuze,SubsidieTabel!$Q$1:$T$1,0),2))&lt;&gt;1=TRUE,"ja",""),"")</f>
        <v/>
      </c>
    </row>
    <row r="894" spans="1:27" ht="15" customHeight="1" x14ac:dyDescent="0.25">
      <c r="A894" s="85"/>
      <c r="B894" s="217" t="str">
        <f>IF(A894&lt;&gt;"",_xlfn.MAXIFS($B$1:B893,$A$1:A893,A894)+1,"")</f>
        <v/>
      </c>
      <c r="C894" s="50"/>
      <c r="D894" s="50"/>
      <c r="E894" s="50"/>
      <c r="F894" s="50"/>
      <c r="G894" s="280"/>
      <c r="H894" s="293"/>
      <c r="I894" s="292"/>
      <c r="J894" s="292"/>
      <c r="K894" s="200"/>
      <c r="L894" s="200"/>
      <c r="M894" s="89" t="str">
        <f>IFERROR(VLOOKUP(H894,Lijsten!$H$1:$I$100,2,0),"")</f>
        <v/>
      </c>
      <c r="N894" s="89" t="str" cm="1">
        <f t="array" ref="N894">IFERROR(_xlfn.IFS(AND(LEFT(F894,6)="Arbeid",RIGHT(F894,3)&lt;&gt;"IKS"),IFERROR(VLOOKUP($G894,Tb_KostenTypen[],2,0),"tarief"),RIGHT(F894,3)="IKS","Uurtarief",LEFT(F894,6)="Arbeid","Uurtarief",AND(LEFT(F894,8)="Bijdrage",RIGHT(F894,15)="(vrijwilligers)"),"Vast tarief"),"")</f>
        <v/>
      </c>
      <c r="O894" s="90"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0"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1"/>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59"/>
      <c r="Z894" s="49"/>
      <c r="AA894" s="37" t="str" cm="1">
        <f t="array" ref="AA894">IFERROR(IF(INDEX(SubsidieTabel!$Q$1:$T$9,MATCH($F894,SubsidieTabel!$Q$1:$Q$9,0),IFERROR(MATCH(Methode_Keuze,SubsidieTabel!$Q$1:$T$1,0),2))&lt;&gt;1=TRUE,"ja",""),"")</f>
        <v/>
      </c>
    </row>
    <row r="895" spans="1:27" ht="15" customHeight="1" x14ac:dyDescent="0.25">
      <c r="A895" s="85"/>
      <c r="B895" s="217" t="str">
        <f>IF(A895&lt;&gt;"",_xlfn.MAXIFS($B$1:B894,$A$1:A894,A895)+1,"")</f>
        <v/>
      </c>
      <c r="C895" s="50"/>
      <c r="D895" s="50"/>
      <c r="E895" s="50"/>
      <c r="F895" s="50"/>
      <c r="G895" s="280"/>
      <c r="H895" s="293"/>
      <c r="I895" s="292"/>
      <c r="J895" s="292"/>
      <c r="K895" s="200"/>
      <c r="L895" s="200"/>
      <c r="M895" s="89" t="str">
        <f>IFERROR(VLOOKUP(H895,Lijsten!$H$1:$I$100,2,0),"")</f>
        <v/>
      </c>
      <c r="N895" s="89" t="str" cm="1">
        <f t="array" ref="N895">IFERROR(_xlfn.IFS(AND(LEFT(F895,6)="Arbeid",RIGHT(F895,3)&lt;&gt;"IKS"),IFERROR(VLOOKUP($G895,Tb_KostenTypen[],2,0),"tarief"),RIGHT(F895,3)="IKS","Uurtarief",LEFT(F895,6)="Arbeid","Uurtarief",AND(LEFT(F895,8)="Bijdrage",RIGHT(F895,15)="(vrijwilligers)"),"Vast tarief"),"")</f>
        <v/>
      </c>
      <c r="O895" s="90"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0"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1"/>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59"/>
      <c r="Z895" s="49"/>
      <c r="AA895" s="37" t="str" cm="1">
        <f t="array" ref="AA895">IFERROR(IF(INDEX(SubsidieTabel!$Q$1:$T$9,MATCH($F895,SubsidieTabel!$Q$1:$Q$9,0),IFERROR(MATCH(Methode_Keuze,SubsidieTabel!$Q$1:$T$1,0),2))&lt;&gt;1=TRUE,"ja",""),"")</f>
        <v/>
      </c>
    </row>
    <row r="896" spans="1:27" ht="15" customHeight="1" x14ac:dyDescent="0.25">
      <c r="A896" s="85"/>
      <c r="B896" s="217" t="str">
        <f>IF(A896&lt;&gt;"",_xlfn.MAXIFS($B$1:B895,$A$1:A895,A896)+1,"")</f>
        <v/>
      </c>
      <c r="C896" s="50"/>
      <c r="D896" s="50"/>
      <c r="E896" s="50"/>
      <c r="F896" s="50"/>
      <c r="G896" s="280"/>
      <c r="H896" s="293"/>
      <c r="I896" s="292"/>
      <c r="J896" s="292"/>
      <c r="K896" s="200"/>
      <c r="L896" s="200"/>
      <c r="M896" s="89" t="str">
        <f>IFERROR(VLOOKUP(H896,Lijsten!$H$1:$I$100,2,0),"")</f>
        <v/>
      </c>
      <c r="N896" s="89" t="str" cm="1">
        <f t="array" ref="N896">IFERROR(_xlfn.IFS(AND(LEFT(F896,6)="Arbeid",RIGHT(F896,3)&lt;&gt;"IKS"),IFERROR(VLOOKUP($G896,Tb_KostenTypen[],2,0),"tarief"),RIGHT(F896,3)="IKS","Uurtarief",LEFT(F896,6)="Arbeid","Uurtarief",AND(LEFT(F896,8)="Bijdrage",RIGHT(F896,15)="(vrijwilligers)"),"Vast tarief"),"")</f>
        <v/>
      </c>
      <c r="O896" s="90"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0"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1"/>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59"/>
      <c r="Z896" s="49"/>
      <c r="AA896" s="37" t="str" cm="1">
        <f t="array" ref="AA896">IFERROR(IF(INDEX(SubsidieTabel!$Q$1:$T$9,MATCH($F896,SubsidieTabel!$Q$1:$Q$9,0),IFERROR(MATCH(Methode_Keuze,SubsidieTabel!$Q$1:$T$1,0),2))&lt;&gt;1=TRUE,"ja",""),"")</f>
        <v/>
      </c>
    </row>
    <row r="897" spans="1:27" ht="15" customHeight="1" x14ac:dyDescent="0.25">
      <c r="A897" s="85"/>
      <c r="B897" s="217" t="str">
        <f>IF(A897&lt;&gt;"",_xlfn.MAXIFS($B$1:B896,$A$1:A896,A897)+1,"")</f>
        <v/>
      </c>
      <c r="C897" s="50"/>
      <c r="D897" s="50"/>
      <c r="E897" s="50"/>
      <c r="F897" s="50"/>
      <c r="G897" s="280"/>
      <c r="H897" s="293"/>
      <c r="I897" s="292"/>
      <c r="J897" s="292"/>
      <c r="K897" s="200"/>
      <c r="L897" s="200"/>
      <c r="M897" s="89" t="str">
        <f>IFERROR(VLOOKUP(H897,Lijsten!$H$1:$I$100,2,0),"")</f>
        <v/>
      </c>
      <c r="N897" s="89" t="str" cm="1">
        <f t="array" ref="N897">IFERROR(_xlfn.IFS(AND(LEFT(F897,6)="Arbeid",RIGHT(F897,3)&lt;&gt;"IKS"),IFERROR(VLOOKUP($G897,Tb_KostenTypen[],2,0),"tarief"),RIGHT(F897,3)="IKS","Uurtarief",LEFT(F897,6)="Arbeid","Uurtarief",AND(LEFT(F897,8)="Bijdrage",RIGHT(F897,15)="(vrijwilligers)"),"Vast tarief"),"")</f>
        <v/>
      </c>
      <c r="O897" s="90"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0"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1"/>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59"/>
      <c r="Z897" s="49"/>
      <c r="AA897" s="37" t="str" cm="1">
        <f t="array" ref="AA897">IFERROR(IF(INDEX(SubsidieTabel!$Q$1:$T$9,MATCH($F897,SubsidieTabel!$Q$1:$Q$9,0),IFERROR(MATCH(Methode_Keuze,SubsidieTabel!$Q$1:$T$1,0),2))&lt;&gt;1=TRUE,"ja",""),"")</f>
        <v/>
      </c>
    </row>
    <row r="898" spans="1:27" ht="15" customHeight="1" x14ac:dyDescent="0.25">
      <c r="A898" s="85"/>
      <c r="B898" s="217" t="str">
        <f>IF(A898&lt;&gt;"",_xlfn.MAXIFS($B$1:B897,$A$1:A897,A898)+1,"")</f>
        <v/>
      </c>
      <c r="C898" s="50"/>
      <c r="D898" s="50"/>
      <c r="E898" s="50"/>
      <c r="F898" s="50"/>
      <c r="G898" s="280"/>
      <c r="H898" s="293"/>
      <c r="I898" s="292"/>
      <c r="J898" s="292"/>
      <c r="K898" s="200"/>
      <c r="L898" s="200"/>
      <c r="M898" s="89" t="str">
        <f>IFERROR(VLOOKUP(H898,Lijsten!$H$1:$I$100,2,0),"")</f>
        <v/>
      </c>
      <c r="N898" s="89" t="str" cm="1">
        <f t="array" ref="N898">IFERROR(_xlfn.IFS(AND(LEFT(F898,6)="Arbeid",RIGHT(F898,3)&lt;&gt;"IKS"),IFERROR(VLOOKUP($G898,Tb_KostenTypen[],2,0),"tarief"),RIGHT(F898,3)="IKS","Uurtarief",LEFT(F898,6)="Arbeid","Uurtarief",AND(LEFT(F898,8)="Bijdrage",RIGHT(F898,15)="(vrijwilligers)"),"Vast tarief"),"")</f>
        <v/>
      </c>
      <c r="O898" s="90"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0"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1"/>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59"/>
      <c r="Z898" s="49"/>
      <c r="AA898" s="37" t="str" cm="1">
        <f t="array" ref="AA898">IFERROR(IF(INDEX(SubsidieTabel!$Q$1:$T$9,MATCH($F898,SubsidieTabel!$Q$1:$Q$9,0),IFERROR(MATCH(Methode_Keuze,SubsidieTabel!$Q$1:$T$1,0),2))&lt;&gt;1=TRUE,"ja",""),"")</f>
        <v/>
      </c>
    </row>
    <row r="899" spans="1:27" ht="15" customHeight="1" x14ac:dyDescent="0.25">
      <c r="A899" s="85"/>
      <c r="B899" s="217" t="str">
        <f>IF(A899&lt;&gt;"",_xlfn.MAXIFS($B$1:B898,$A$1:A898,A899)+1,"")</f>
        <v/>
      </c>
      <c r="C899" s="50"/>
      <c r="D899" s="50"/>
      <c r="E899" s="50"/>
      <c r="F899" s="50"/>
      <c r="G899" s="280"/>
      <c r="H899" s="293"/>
      <c r="I899" s="292"/>
      <c r="J899" s="292"/>
      <c r="K899" s="200"/>
      <c r="L899" s="200"/>
      <c r="M899" s="89" t="str">
        <f>IFERROR(VLOOKUP(H899,Lijsten!$H$1:$I$100,2,0),"")</f>
        <v/>
      </c>
      <c r="N899" s="89" t="str" cm="1">
        <f t="array" ref="N899">IFERROR(_xlfn.IFS(AND(LEFT(F899,6)="Arbeid",RIGHT(F899,3)&lt;&gt;"IKS"),IFERROR(VLOOKUP($G899,Tb_KostenTypen[],2,0),"tarief"),RIGHT(F899,3)="IKS","Uurtarief",LEFT(F899,6)="Arbeid","Uurtarief",AND(LEFT(F899,8)="Bijdrage",RIGHT(F899,15)="(vrijwilligers)"),"Vast tarief"),"")</f>
        <v/>
      </c>
      <c r="O899" s="90"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0"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1"/>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59"/>
      <c r="Z899" s="49"/>
      <c r="AA899" s="37" t="str" cm="1">
        <f t="array" ref="AA899">IFERROR(IF(INDEX(SubsidieTabel!$Q$1:$T$9,MATCH($F899,SubsidieTabel!$Q$1:$Q$9,0),IFERROR(MATCH(Methode_Keuze,SubsidieTabel!$Q$1:$T$1,0),2))&lt;&gt;1=TRUE,"ja",""),"")</f>
        <v/>
      </c>
    </row>
    <row r="900" spans="1:27" ht="15" customHeight="1" x14ac:dyDescent="0.25">
      <c r="A900" s="85"/>
      <c r="B900" s="217" t="str">
        <f>IF(A900&lt;&gt;"",_xlfn.MAXIFS($B$1:B899,$A$1:A899,A900)+1,"")</f>
        <v/>
      </c>
      <c r="C900" s="50"/>
      <c r="D900" s="50"/>
      <c r="E900" s="50"/>
      <c r="F900" s="50"/>
      <c r="G900" s="280"/>
      <c r="H900" s="293"/>
      <c r="I900" s="292"/>
      <c r="J900" s="292"/>
      <c r="K900" s="200"/>
      <c r="L900" s="200"/>
      <c r="M900" s="89" t="str">
        <f>IFERROR(VLOOKUP(H900,Lijsten!$H$1:$I$100,2,0),"")</f>
        <v/>
      </c>
      <c r="N900" s="89" t="str" cm="1">
        <f t="array" ref="N900">IFERROR(_xlfn.IFS(AND(LEFT(F900,6)="Arbeid",RIGHT(F900,3)&lt;&gt;"IKS"),IFERROR(VLOOKUP($G900,Tb_KostenTypen[],2,0),"tarief"),RIGHT(F900,3)="IKS","Uurtarief",LEFT(F900,6)="Arbeid","Uurtarief",AND(LEFT(F900,8)="Bijdrage",RIGHT(F900,15)="(vrijwilligers)"),"Vast tarief"),"")</f>
        <v/>
      </c>
      <c r="O900" s="90"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0"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1"/>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59"/>
      <c r="Z900" s="49"/>
      <c r="AA900" s="37" t="str" cm="1">
        <f t="array" ref="AA900">IFERROR(IF(INDEX(SubsidieTabel!$Q$1:$T$9,MATCH($F900,SubsidieTabel!$Q$1:$Q$9,0),IFERROR(MATCH(Methode_Keuze,SubsidieTabel!$Q$1:$T$1,0),2))&lt;&gt;1=TRUE,"ja",""),"")</f>
        <v/>
      </c>
    </row>
    <row r="901" spans="1:27" ht="15" customHeight="1" x14ac:dyDescent="0.25">
      <c r="A901" s="85"/>
      <c r="B901" s="217" t="str">
        <f>IF(A901&lt;&gt;"",_xlfn.MAXIFS($B$1:B900,$A$1:A900,A901)+1,"")</f>
        <v/>
      </c>
      <c r="C901" s="50"/>
      <c r="D901" s="50"/>
      <c r="E901" s="50"/>
      <c r="F901" s="50"/>
      <c r="G901" s="280"/>
      <c r="H901" s="293"/>
      <c r="I901" s="292"/>
      <c r="J901" s="292"/>
      <c r="K901" s="200"/>
      <c r="L901" s="200"/>
      <c r="M901" s="89" t="str">
        <f>IFERROR(VLOOKUP(H901,Lijsten!$H$1:$I$100,2,0),"")</f>
        <v/>
      </c>
      <c r="N901" s="89" t="str" cm="1">
        <f t="array" ref="N901">IFERROR(_xlfn.IFS(AND(LEFT(F901,6)="Arbeid",RIGHT(F901,3)&lt;&gt;"IKS"),IFERROR(VLOOKUP($G901,Tb_KostenTypen[],2,0),"tarief"),RIGHT(F901,3)="IKS","Uurtarief",LEFT(F901,6)="Arbeid","Uurtarief",AND(LEFT(F901,8)="Bijdrage",RIGHT(F901,15)="(vrijwilligers)"),"Vast tarief"),"")</f>
        <v/>
      </c>
      <c r="O901" s="90"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0"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1"/>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59"/>
      <c r="Z901" s="49"/>
      <c r="AA901" s="37" t="str" cm="1">
        <f t="array" ref="AA901">IFERROR(IF(INDEX(SubsidieTabel!$Q$1:$T$9,MATCH($F901,SubsidieTabel!$Q$1:$Q$9,0),IFERROR(MATCH(Methode_Keuze,SubsidieTabel!$Q$1:$T$1,0),2))&lt;&gt;1=TRUE,"ja",""),"")</f>
        <v/>
      </c>
    </row>
    <row r="902" spans="1:27" ht="15" customHeight="1" x14ac:dyDescent="0.25">
      <c r="A902" s="85"/>
      <c r="B902" s="217" t="str">
        <f>IF(A902&lt;&gt;"",_xlfn.MAXIFS($B$1:B901,$A$1:A901,A902)+1,"")</f>
        <v/>
      </c>
      <c r="C902" s="50"/>
      <c r="D902" s="50"/>
      <c r="E902" s="50"/>
      <c r="F902" s="50"/>
      <c r="G902" s="280"/>
      <c r="H902" s="293"/>
      <c r="I902" s="292"/>
      <c r="J902" s="292"/>
      <c r="K902" s="200"/>
      <c r="L902" s="200"/>
      <c r="M902" s="89" t="str">
        <f>IFERROR(VLOOKUP(H902,Lijsten!$H$1:$I$100,2,0),"")</f>
        <v/>
      </c>
      <c r="N902" s="89" t="str" cm="1">
        <f t="array" ref="N902">IFERROR(_xlfn.IFS(AND(LEFT(F902,6)="Arbeid",RIGHT(F902,3)&lt;&gt;"IKS"),IFERROR(VLOOKUP($G902,Tb_KostenTypen[],2,0),"tarief"),RIGHT(F902,3)="IKS","Uurtarief",LEFT(F902,6)="Arbeid","Uurtarief",AND(LEFT(F902,8)="Bijdrage",RIGHT(F902,15)="(vrijwilligers)"),"Vast tarief"),"")</f>
        <v/>
      </c>
      <c r="O902" s="90"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0"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1"/>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59"/>
      <c r="Z902" s="49"/>
      <c r="AA902" s="37" t="str" cm="1">
        <f t="array" ref="AA902">IFERROR(IF(INDEX(SubsidieTabel!$Q$1:$T$9,MATCH($F902,SubsidieTabel!$Q$1:$Q$9,0),IFERROR(MATCH(Methode_Keuze,SubsidieTabel!$Q$1:$T$1,0),2))&lt;&gt;1=TRUE,"ja",""),"")</f>
        <v/>
      </c>
    </row>
    <row r="903" spans="1:27" ht="15" customHeight="1" x14ac:dyDescent="0.25">
      <c r="A903" s="85"/>
      <c r="B903" s="217" t="str">
        <f>IF(A903&lt;&gt;"",_xlfn.MAXIFS($B$1:B902,$A$1:A902,A903)+1,"")</f>
        <v/>
      </c>
      <c r="C903" s="50"/>
      <c r="D903" s="50"/>
      <c r="E903" s="50"/>
      <c r="F903" s="50"/>
      <c r="G903" s="280"/>
      <c r="H903" s="293"/>
      <c r="I903" s="292"/>
      <c r="J903" s="292"/>
      <c r="K903" s="200"/>
      <c r="L903" s="200"/>
      <c r="M903" s="89" t="str">
        <f>IFERROR(VLOOKUP(H903,Lijsten!$H$1:$I$100,2,0),"")</f>
        <v/>
      </c>
      <c r="N903" s="89" t="str" cm="1">
        <f t="array" ref="N903">IFERROR(_xlfn.IFS(AND(LEFT(F903,6)="Arbeid",RIGHT(F903,3)&lt;&gt;"IKS"),IFERROR(VLOOKUP($G903,Tb_KostenTypen[],2,0),"tarief"),RIGHT(F903,3)="IKS","Uurtarief",LEFT(F903,6)="Arbeid","Uurtarief",AND(LEFT(F903,8)="Bijdrage",RIGHT(F903,15)="(vrijwilligers)"),"Vast tarief"),"")</f>
        <v/>
      </c>
      <c r="O903" s="90"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0"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1"/>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59"/>
      <c r="Z903" s="49"/>
      <c r="AA903" s="37" t="str" cm="1">
        <f t="array" ref="AA903">IFERROR(IF(INDEX(SubsidieTabel!$Q$1:$T$9,MATCH($F903,SubsidieTabel!$Q$1:$Q$9,0),IFERROR(MATCH(Methode_Keuze,SubsidieTabel!$Q$1:$T$1,0),2))&lt;&gt;1=TRUE,"ja",""),"")</f>
        <v/>
      </c>
    </row>
    <row r="904" spans="1:27" ht="15" customHeight="1" x14ac:dyDescent="0.25">
      <c r="A904" s="85"/>
      <c r="B904" s="217" t="str">
        <f>IF(A904&lt;&gt;"",_xlfn.MAXIFS($B$1:B903,$A$1:A903,A904)+1,"")</f>
        <v/>
      </c>
      <c r="C904" s="50"/>
      <c r="D904" s="50"/>
      <c r="E904" s="50"/>
      <c r="F904" s="50"/>
      <c r="G904" s="280"/>
      <c r="H904" s="293"/>
      <c r="I904" s="292"/>
      <c r="J904" s="292"/>
      <c r="K904" s="200"/>
      <c r="L904" s="200"/>
      <c r="M904" s="89" t="str">
        <f>IFERROR(VLOOKUP(H904,Lijsten!$H$1:$I$100,2,0),"")</f>
        <v/>
      </c>
      <c r="N904" s="89" t="str" cm="1">
        <f t="array" ref="N904">IFERROR(_xlfn.IFS(AND(LEFT(F904,6)="Arbeid",RIGHT(F904,3)&lt;&gt;"IKS"),IFERROR(VLOOKUP($G904,Tb_KostenTypen[],2,0),"tarief"),RIGHT(F904,3)="IKS","Uurtarief",LEFT(F904,6)="Arbeid","Uurtarief",AND(LEFT(F904,8)="Bijdrage",RIGHT(F904,15)="(vrijwilligers)"),"Vast tarief"),"")</f>
        <v/>
      </c>
      <c r="O904" s="90"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0"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1"/>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59"/>
      <c r="Z904" s="49"/>
      <c r="AA904" s="37" t="str" cm="1">
        <f t="array" ref="AA904">IFERROR(IF(INDEX(SubsidieTabel!$Q$1:$T$9,MATCH($F904,SubsidieTabel!$Q$1:$Q$9,0),IFERROR(MATCH(Methode_Keuze,SubsidieTabel!$Q$1:$T$1,0),2))&lt;&gt;1=TRUE,"ja",""),"")</f>
        <v/>
      </c>
    </row>
    <row r="905" spans="1:27" ht="15" customHeight="1" x14ac:dyDescent="0.25">
      <c r="A905" s="85"/>
      <c r="B905" s="217" t="str">
        <f>IF(A905&lt;&gt;"",_xlfn.MAXIFS($B$1:B904,$A$1:A904,A905)+1,"")</f>
        <v/>
      </c>
      <c r="C905" s="50"/>
      <c r="D905" s="50"/>
      <c r="E905" s="50"/>
      <c r="F905" s="50"/>
      <c r="G905" s="280"/>
      <c r="H905" s="293"/>
      <c r="I905" s="292"/>
      <c r="J905" s="292"/>
      <c r="K905" s="200"/>
      <c r="L905" s="200"/>
      <c r="M905" s="89" t="str">
        <f>IFERROR(VLOOKUP(H905,Lijsten!$H$1:$I$100,2,0),"")</f>
        <v/>
      </c>
      <c r="N905" s="89" t="str" cm="1">
        <f t="array" ref="N905">IFERROR(_xlfn.IFS(AND(LEFT(F905,6)="Arbeid",RIGHT(F905,3)&lt;&gt;"IKS"),IFERROR(VLOOKUP($G905,Tb_KostenTypen[],2,0),"tarief"),RIGHT(F905,3)="IKS","Uurtarief",LEFT(F905,6)="Arbeid","Uurtarief",AND(LEFT(F905,8)="Bijdrage",RIGHT(F905,15)="(vrijwilligers)"),"Vast tarief"),"")</f>
        <v/>
      </c>
      <c r="O905" s="90"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0"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1"/>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59"/>
      <c r="Z905" s="49"/>
      <c r="AA905" s="37" t="str" cm="1">
        <f t="array" ref="AA905">IFERROR(IF(INDEX(SubsidieTabel!$Q$1:$T$9,MATCH($F905,SubsidieTabel!$Q$1:$Q$9,0),IFERROR(MATCH(Methode_Keuze,SubsidieTabel!$Q$1:$T$1,0),2))&lt;&gt;1=TRUE,"ja",""),"")</f>
        <v/>
      </c>
    </row>
    <row r="906" spans="1:27" ht="15" customHeight="1" x14ac:dyDescent="0.25">
      <c r="A906" s="85"/>
      <c r="B906" s="217" t="str">
        <f>IF(A906&lt;&gt;"",_xlfn.MAXIFS($B$1:B905,$A$1:A905,A906)+1,"")</f>
        <v/>
      </c>
      <c r="C906" s="50"/>
      <c r="D906" s="50"/>
      <c r="E906" s="50"/>
      <c r="F906" s="50"/>
      <c r="G906" s="280"/>
      <c r="H906" s="293"/>
      <c r="I906" s="292"/>
      <c r="J906" s="292"/>
      <c r="K906" s="200"/>
      <c r="L906" s="200"/>
      <c r="M906" s="89" t="str">
        <f>IFERROR(VLOOKUP(H906,Lijsten!$H$1:$I$100,2,0),"")</f>
        <v/>
      </c>
      <c r="N906" s="89" t="str" cm="1">
        <f t="array" ref="N906">IFERROR(_xlfn.IFS(AND(LEFT(F906,6)="Arbeid",RIGHT(F906,3)&lt;&gt;"IKS"),IFERROR(VLOOKUP($G906,Tb_KostenTypen[],2,0),"tarief"),RIGHT(F906,3)="IKS","Uurtarief",LEFT(F906,6)="Arbeid","Uurtarief",AND(LEFT(F906,8)="Bijdrage",RIGHT(F906,15)="(vrijwilligers)"),"Vast tarief"),"")</f>
        <v/>
      </c>
      <c r="O906" s="90"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0"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1"/>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59"/>
      <c r="Z906" s="49"/>
      <c r="AA906" s="37" t="str" cm="1">
        <f t="array" ref="AA906">IFERROR(IF(INDEX(SubsidieTabel!$Q$1:$T$9,MATCH($F906,SubsidieTabel!$Q$1:$Q$9,0),IFERROR(MATCH(Methode_Keuze,SubsidieTabel!$Q$1:$T$1,0),2))&lt;&gt;1=TRUE,"ja",""),"")</f>
        <v/>
      </c>
    </row>
    <row r="907" spans="1:27" ht="15" customHeight="1" x14ac:dyDescent="0.25">
      <c r="A907" s="85"/>
      <c r="B907" s="217" t="str">
        <f>IF(A907&lt;&gt;"",_xlfn.MAXIFS($B$1:B906,$A$1:A906,A907)+1,"")</f>
        <v/>
      </c>
      <c r="C907" s="50"/>
      <c r="D907" s="50"/>
      <c r="E907" s="50"/>
      <c r="F907" s="50"/>
      <c r="G907" s="280"/>
      <c r="H907" s="293"/>
      <c r="I907" s="292"/>
      <c r="J907" s="292"/>
      <c r="K907" s="200"/>
      <c r="L907" s="200"/>
      <c r="M907" s="89" t="str">
        <f>IFERROR(VLOOKUP(H907,Lijsten!$H$1:$I$100,2,0),"")</f>
        <v/>
      </c>
      <c r="N907" s="89" t="str" cm="1">
        <f t="array" ref="N907">IFERROR(_xlfn.IFS(AND(LEFT(F907,6)="Arbeid",RIGHT(F907,3)&lt;&gt;"IKS"),IFERROR(VLOOKUP($G907,Tb_KostenTypen[],2,0),"tarief"),RIGHT(F907,3)="IKS","Uurtarief",LEFT(F907,6)="Arbeid","Uurtarief",AND(LEFT(F907,8)="Bijdrage",RIGHT(F907,15)="(vrijwilligers)"),"Vast tarief"),"")</f>
        <v/>
      </c>
      <c r="O907" s="90"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0"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1"/>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59"/>
      <c r="Z907" s="49"/>
      <c r="AA907" s="37" t="str" cm="1">
        <f t="array" ref="AA907">IFERROR(IF(INDEX(SubsidieTabel!$Q$1:$T$9,MATCH($F907,SubsidieTabel!$Q$1:$Q$9,0),IFERROR(MATCH(Methode_Keuze,SubsidieTabel!$Q$1:$T$1,0),2))&lt;&gt;1=TRUE,"ja",""),"")</f>
        <v/>
      </c>
    </row>
    <row r="908" spans="1:27" ht="15" customHeight="1" x14ac:dyDescent="0.25">
      <c r="A908" s="85"/>
      <c r="B908" s="217" t="str">
        <f>IF(A908&lt;&gt;"",_xlfn.MAXIFS($B$1:B907,$A$1:A907,A908)+1,"")</f>
        <v/>
      </c>
      <c r="C908" s="50"/>
      <c r="D908" s="50"/>
      <c r="E908" s="50"/>
      <c r="F908" s="50"/>
      <c r="G908" s="280"/>
      <c r="H908" s="293"/>
      <c r="I908" s="292"/>
      <c r="J908" s="292"/>
      <c r="K908" s="200"/>
      <c r="L908" s="200"/>
      <c r="M908" s="89" t="str">
        <f>IFERROR(VLOOKUP(H908,Lijsten!$H$1:$I$100,2,0),"")</f>
        <v/>
      </c>
      <c r="N908" s="89" t="str" cm="1">
        <f t="array" ref="N908">IFERROR(_xlfn.IFS(AND(LEFT(F908,6)="Arbeid",RIGHT(F908,3)&lt;&gt;"IKS"),IFERROR(VLOOKUP($G908,Tb_KostenTypen[],2,0),"tarief"),RIGHT(F908,3)="IKS","Uurtarief",LEFT(F908,6)="Arbeid","Uurtarief",AND(LEFT(F908,8)="Bijdrage",RIGHT(F908,15)="(vrijwilligers)"),"Vast tarief"),"")</f>
        <v/>
      </c>
      <c r="O908" s="90"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0"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1"/>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59"/>
      <c r="Z908" s="49"/>
      <c r="AA908" s="37" t="str" cm="1">
        <f t="array" ref="AA908">IFERROR(IF(INDEX(SubsidieTabel!$Q$1:$T$9,MATCH($F908,SubsidieTabel!$Q$1:$Q$9,0),IFERROR(MATCH(Methode_Keuze,SubsidieTabel!$Q$1:$T$1,0),2))&lt;&gt;1=TRUE,"ja",""),"")</f>
        <v/>
      </c>
    </row>
    <row r="909" spans="1:27" ht="15" customHeight="1" x14ac:dyDescent="0.25">
      <c r="A909" s="85"/>
      <c r="B909" s="217" t="str">
        <f>IF(A909&lt;&gt;"",_xlfn.MAXIFS($B$1:B908,$A$1:A908,A909)+1,"")</f>
        <v/>
      </c>
      <c r="C909" s="50"/>
      <c r="D909" s="50"/>
      <c r="E909" s="50"/>
      <c r="F909" s="50"/>
      <c r="G909" s="280"/>
      <c r="H909" s="293"/>
      <c r="I909" s="292"/>
      <c r="J909" s="292"/>
      <c r="K909" s="200"/>
      <c r="L909" s="200"/>
      <c r="M909" s="89" t="str">
        <f>IFERROR(VLOOKUP(H909,Lijsten!$H$1:$I$100,2,0),"")</f>
        <v/>
      </c>
      <c r="N909" s="89" t="str" cm="1">
        <f t="array" ref="N909">IFERROR(_xlfn.IFS(AND(LEFT(F909,6)="Arbeid",RIGHT(F909,3)&lt;&gt;"IKS"),IFERROR(VLOOKUP($G909,Tb_KostenTypen[],2,0),"tarief"),RIGHT(F909,3)="IKS","Uurtarief",LEFT(F909,6)="Arbeid","Uurtarief",AND(LEFT(F909,8)="Bijdrage",RIGHT(F909,15)="(vrijwilligers)"),"Vast tarief"),"")</f>
        <v/>
      </c>
      <c r="O909" s="90"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0"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1"/>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59"/>
      <c r="Z909" s="49"/>
      <c r="AA909" s="37" t="str" cm="1">
        <f t="array" ref="AA909">IFERROR(IF(INDEX(SubsidieTabel!$Q$1:$T$9,MATCH($F909,SubsidieTabel!$Q$1:$Q$9,0),IFERROR(MATCH(Methode_Keuze,SubsidieTabel!$Q$1:$T$1,0),2))&lt;&gt;1=TRUE,"ja",""),"")</f>
        <v/>
      </c>
    </row>
    <row r="910" spans="1:27" ht="15" customHeight="1" x14ac:dyDescent="0.25">
      <c r="A910" s="85"/>
      <c r="B910" s="217" t="str">
        <f>IF(A910&lt;&gt;"",_xlfn.MAXIFS($B$1:B909,$A$1:A909,A910)+1,"")</f>
        <v/>
      </c>
      <c r="C910" s="50"/>
      <c r="D910" s="50"/>
      <c r="E910" s="50"/>
      <c r="F910" s="50"/>
      <c r="G910" s="280"/>
      <c r="H910" s="293"/>
      <c r="I910" s="292"/>
      <c r="J910" s="292"/>
      <c r="K910" s="200"/>
      <c r="L910" s="200"/>
      <c r="M910" s="89" t="str">
        <f>IFERROR(VLOOKUP(H910,Lijsten!$H$1:$I$100,2,0),"")</f>
        <v/>
      </c>
      <c r="N910" s="89" t="str" cm="1">
        <f t="array" ref="N910">IFERROR(_xlfn.IFS(AND(LEFT(F910,6)="Arbeid",RIGHT(F910,3)&lt;&gt;"IKS"),IFERROR(VLOOKUP($G910,Tb_KostenTypen[],2,0),"tarief"),RIGHT(F910,3)="IKS","Uurtarief",LEFT(F910,6)="Arbeid","Uurtarief",AND(LEFT(F910,8)="Bijdrage",RIGHT(F910,15)="(vrijwilligers)"),"Vast tarief"),"")</f>
        <v/>
      </c>
      <c r="O910" s="90"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0"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1"/>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59"/>
      <c r="Z910" s="49"/>
      <c r="AA910" s="37" t="str" cm="1">
        <f t="array" ref="AA910">IFERROR(IF(INDEX(SubsidieTabel!$Q$1:$T$9,MATCH($F910,SubsidieTabel!$Q$1:$Q$9,0),IFERROR(MATCH(Methode_Keuze,SubsidieTabel!$Q$1:$T$1,0),2))&lt;&gt;1=TRUE,"ja",""),"")</f>
        <v/>
      </c>
    </row>
    <row r="911" spans="1:27" ht="15" customHeight="1" x14ac:dyDescent="0.25">
      <c r="A911" s="85"/>
      <c r="B911" s="217" t="str">
        <f>IF(A911&lt;&gt;"",_xlfn.MAXIFS($B$1:B910,$A$1:A910,A911)+1,"")</f>
        <v/>
      </c>
      <c r="C911" s="50"/>
      <c r="D911" s="50"/>
      <c r="E911" s="50"/>
      <c r="F911" s="50"/>
      <c r="G911" s="280"/>
      <c r="H911" s="293"/>
      <c r="I911" s="292"/>
      <c r="J911" s="292"/>
      <c r="K911" s="200"/>
      <c r="L911" s="200"/>
      <c r="M911" s="89" t="str">
        <f>IFERROR(VLOOKUP(H911,Lijsten!$H$1:$I$100,2,0),"")</f>
        <v/>
      </c>
      <c r="N911" s="89" t="str" cm="1">
        <f t="array" ref="N911">IFERROR(_xlfn.IFS(AND(LEFT(F911,6)="Arbeid",RIGHT(F911,3)&lt;&gt;"IKS"),IFERROR(VLOOKUP($G911,Tb_KostenTypen[],2,0),"tarief"),RIGHT(F911,3)="IKS","Uurtarief",LEFT(F911,6)="Arbeid","Uurtarief",AND(LEFT(F911,8)="Bijdrage",RIGHT(F911,15)="(vrijwilligers)"),"Vast tarief"),"")</f>
        <v/>
      </c>
      <c r="O911" s="90"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0"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1"/>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59"/>
      <c r="Z911" s="49"/>
      <c r="AA911" s="37" t="str" cm="1">
        <f t="array" ref="AA911">IFERROR(IF(INDEX(SubsidieTabel!$Q$1:$T$9,MATCH($F911,SubsidieTabel!$Q$1:$Q$9,0),IFERROR(MATCH(Methode_Keuze,SubsidieTabel!$Q$1:$T$1,0),2))&lt;&gt;1=TRUE,"ja",""),"")</f>
        <v/>
      </c>
    </row>
    <row r="912" spans="1:27" ht="15" customHeight="1" x14ac:dyDescent="0.25">
      <c r="A912" s="85"/>
      <c r="B912" s="217" t="str">
        <f>IF(A912&lt;&gt;"",_xlfn.MAXIFS($B$1:B911,$A$1:A911,A912)+1,"")</f>
        <v/>
      </c>
      <c r="C912" s="50"/>
      <c r="D912" s="50"/>
      <c r="E912" s="50"/>
      <c r="F912" s="50"/>
      <c r="G912" s="280"/>
      <c r="H912" s="293"/>
      <c r="I912" s="292"/>
      <c r="J912" s="292"/>
      <c r="K912" s="200"/>
      <c r="L912" s="200"/>
      <c r="M912" s="89" t="str">
        <f>IFERROR(VLOOKUP(H912,Lijsten!$H$1:$I$100,2,0),"")</f>
        <v/>
      </c>
      <c r="N912" s="89" t="str" cm="1">
        <f t="array" ref="N912">IFERROR(_xlfn.IFS(AND(LEFT(F912,6)="Arbeid",RIGHT(F912,3)&lt;&gt;"IKS"),IFERROR(VLOOKUP($G912,Tb_KostenTypen[],2,0),"tarief"),RIGHT(F912,3)="IKS","Uurtarief",LEFT(F912,6)="Arbeid","Uurtarief",AND(LEFT(F912,8)="Bijdrage",RIGHT(F912,15)="(vrijwilligers)"),"Vast tarief"),"")</f>
        <v/>
      </c>
      <c r="O912" s="90"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0"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1"/>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59"/>
      <c r="Z912" s="49"/>
      <c r="AA912" s="37" t="str" cm="1">
        <f t="array" ref="AA912">IFERROR(IF(INDEX(SubsidieTabel!$Q$1:$T$9,MATCH($F912,SubsidieTabel!$Q$1:$Q$9,0),IFERROR(MATCH(Methode_Keuze,SubsidieTabel!$Q$1:$T$1,0),2))&lt;&gt;1=TRUE,"ja",""),"")</f>
        <v/>
      </c>
    </row>
    <row r="913" spans="1:27" ht="15" customHeight="1" x14ac:dyDescent="0.25">
      <c r="A913" s="85"/>
      <c r="B913" s="217" t="str">
        <f>IF(A913&lt;&gt;"",_xlfn.MAXIFS($B$1:B912,$A$1:A912,A913)+1,"")</f>
        <v/>
      </c>
      <c r="C913" s="50"/>
      <c r="D913" s="50"/>
      <c r="E913" s="50"/>
      <c r="F913" s="50"/>
      <c r="G913" s="280"/>
      <c r="H913" s="293"/>
      <c r="I913" s="292"/>
      <c r="J913" s="292"/>
      <c r="K913" s="200"/>
      <c r="L913" s="200"/>
      <c r="M913" s="89" t="str">
        <f>IFERROR(VLOOKUP(H913,Lijsten!$H$1:$I$100,2,0),"")</f>
        <v/>
      </c>
      <c r="N913" s="89" t="str" cm="1">
        <f t="array" ref="N913">IFERROR(_xlfn.IFS(AND(LEFT(F913,6)="Arbeid",RIGHT(F913,3)&lt;&gt;"IKS"),IFERROR(VLOOKUP($G913,Tb_KostenTypen[],2,0),"tarief"),RIGHT(F913,3)="IKS","Uurtarief",LEFT(F913,6)="Arbeid","Uurtarief",AND(LEFT(F913,8)="Bijdrage",RIGHT(F913,15)="(vrijwilligers)"),"Vast tarief"),"")</f>
        <v/>
      </c>
      <c r="O913" s="90"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0"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1"/>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59"/>
      <c r="Z913" s="49"/>
      <c r="AA913" s="37" t="str" cm="1">
        <f t="array" ref="AA913">IFERROR(IF(INDEX(SubsidieTabel!$Q$1:$T$9,MATCH($F913,SubsidieTabel!$Q$1:$Q$9,0),IFERROR(MATCH(Methode_Keuze,SubsidieTabel!$Q$1:$T$1,0),2))&lt;&gt;1=TRUE,"ja",""),"")</f>
        <v/>
      </c>
    </row>
    <row r="914" spans="1:27" ht="15" customHeight="1" x14ac:dyDescent="0.25">
      <c r="A914" s="85"/>
      <c r="B914" s="217" t="str">
        <f>IF(A914&lt;&gt;"",_xlfn.MAXIFS($B$1:B913,$A$1:A913,A914)+1,"")</f>
        <v/>
      </c>
      <c r="C914" s="50"/>
      <c r="D914" s="50"/>
      <c r="E914" s="50"/>
      <c r="F914" s="50"/>
      <c r="G914" s="280"/>
      <c r="H914" s="293"/>
      <c r="I914" s="292"/>
      <c r="J914" s="292"/>
      <c r="K914" s="200"/>
      <c r="L914" s="200"/>
      <c r="M914" s="89" t="str">
        <f>IFERROR(VLOOKUP(H914,Lijsten!$H$1:$I$100,2,0),"")</f>
        <v/>
      </c>
      <c r="N914" s="89" t="str" cm="1">
        <f t="array" ref="N914">IFERROR(_xlfn.IFS(AND(LEFT(F914,6)="Arbeid",RIGHT(F914,3)&lt;&gt;"IKS"),IFERROR(VLOOKUP($G914,Tb_KostenTypen[],2,0),"tarief"),RIGHT(F914,3)="IKS","Uurtarief",LEFT(F914,6)="Arbeid","Uurtarief",AND(LEFT(F914,8)="Bijdrage",RIGHT(F914,15)="(vrijwilligers)"),"Vast tarief"),"")</f>
        <v/>
      </c>
      <c r="O914" s="90"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0"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1"/>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59"/>
      <c r="Z914" s="49"/>
      <c r="AA914" s="37" t="str" cm="1">
        <f t="array" ref="AA914">IFERROR(IF(INDEX(SubsidieTabel!$Q$1:$T$9,MATCH($F914,SubsidieTabel!$Q$1:$Q$9,0),IFERROR(MATCH(Methode_Keuze,SubsidieTabel!$Q$1:$T$1,0),2))&lt;&gt;1=TRUE,"ja",""),"")</f>
        <v/>
      </c>
    </row>
    <row r="915" spans="1:27" ht="15" customHeight="1" x14ac:dyDescent="0.25">
      <c r="A915" s="85"/>
      <c r="B915" s="217" t="str">
        <f>IF(A915&lt;&gt;"",_xlfn.MAXIFS($B$1:B914,$A$1:A914,A915)+1,"")</f>
        <v/>
      </c>
      <c r="C915" s="50"/>
      <c r="D915" s="50"/>
      <c r="E915" s="50"/>
      <c r="F915" s="50"/>
      <c r="G915" s="280"/>
      <c r="H915" s="293"/>
      <c r="I915" s="292"/>
      <c r="J915" s="292"/>
      <c r="K915" s="200"/>
      <c r="L915" s="200"/>
      <c r="M915" s="89" t="str">
        <f>IFERROR(VLOOKUP(H915,Lijsten!$H$1:$I$100,2,0),"")</f>
        <v/>
      </c>
      <c r="N915" s="89" t="str" cm="1">
        <f t="array" ref="N915">IFERROR(_xlfn.IFS(AND(LEFT(F915,6)="Arbeid",RIGHT(F915,3)&lt;&gt;"IKS"),IFERROR(VLOOKUP($G915,Tb_KostenTypen[],2,0),"tarief"),RIGHT(F915,3)="IKS","Uurtarief",LEFT(F915,6)="Arbeid","Uurtarief",AND(LEFT(F915,8)="Bijdrage",RIGHT(F915,15)="(vrijwilligers)"),"Vast tarief"),"")</f>
        <v/>
      </c>
      <c r="O915" s="90"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0"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1"/>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59"/>
      <c r="Z915" s="49"/>
      <c r="AA915" s="37" t="str" cm="1">
        <f t="array" ref="AA915">IFERROR(IF(INDEX(SubsidieTabel!$Q$1:$T$9,MATCH($F915,SubsidieTabel!$Q$1:$Q$9,0),IFERROR(MATCH(Methode_Keuze,SubsidieTabel!$Q$1:$T$1,0),2))&lt;&gt;1=TRUE,"ja",""),"")</f>
        <v/>
      </c>
    </row>
    <row r="916" spans="1:27" ht="15" customHeight="1" x14ac:dyDescent="0.25">
      <c r="A916" s="85"/>
      <c r="B916" s="217" t="str">
        <f>IF(A916&lt;&gt;"",_xlfn.MAXIFS($B$1:B915,$A$1:A915,A916)+1,"")</f>
        <v/>
      </c>
      <c r="C916" s="50"/>
      <c r="D916" s="50"/>
      <c r="E916" s="50"/>
      <c r="F916" s="50"/>
      <c r="G916" s="280"/>
      <c r="H916" s="293"/>
      <c r="I916" s="292"/>
      <c r="J916" s="292"/>
      <c r="K916" s="200"/>
      <c r="L916" s="200"/>
      <c r="M916" s="89" t="str">
        <f>IFERROR(VLOOKUP(H916,Lijsten!$H$1:$I$100,2,0),"")</f>
        <v/>
      </c>
      <c r="N916" s="89" t="str" cm="1">
        <f t="array" ref="N916">IFERROR(_xlfn.IFS(AND(LEFT(F916,6)="Arbeid",RIGHT(F916,3)&lt;&gt;"IKS"),IFERROR(VLOOKUP($G916,Tb_KostenTypen[],2,0),"tarief"),RIGHT(F916,3)="IKS","Uurtarief",LEFT(F916,6)="Arbeid","Uurtarief",AND(LEFT(F916,8)="Bijdrage",RIGHT(F916,15)="(vrijwilligers)"),"Vast tarief"),"")</f>
        <v/>
      </c>
      <c r="O916" s="90"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0"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1"/>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59"/>
      <c r="Z916" s="49"/>
      <c r="AA916" s="37" t="str" cm="1">
        <f t="array" ref="AA916">IFERROR(IF(INDEX(SubsidieTabel!$Q$1:$T$9,MATCH($F916,SubsidieTabel!$Q$1:$Q$9,0),IFERROR(MATCH(Methode_Keuze,SubsidieTabel!$Q$1:$T$1,0),2))&lt;&gt;1=TRUE,"ja",""),"")</f>
        <v/>
      </c>
    </row>
    <row r="917" spans="1:27" ht="15" customHeight="1" x14ac:dyDescent="0.25">
      <c r="A917" s="85"/>
      <c r="B917" s="217" t="str">
        <f>IF(A917&lt;&gt;"",_xlfn.MAXIFS($B$1:B916,$A$1:A916,A917)+1,"")</f>
        <v/>
      </c>
      <c r="C917" s="50"/>
      <c r="D917" s="50"/>
      <c r="E917" s="50"/>
      <c r="F917" s="50"/>
      <c r="G917" s="280"/>
      <c r="H917" s="293"/>
      <c r="I917" s="292"/>
      <c r="J917" s="292"/>
      <c r="K917" s="200"/>
      <c r="L917" s="200"/>
      <c r="M917" s="89" t="str">
        <f>IFERROR(VLOOKUP(H917,Lijsten!$H$1:$I$100,2,0),"")</f>
        <v/>
      </c>
      <c r="N917" s="89" t="str" cm="1">
        <f t="array" ref="N917">IFERROR(_xlfn.IFS(AND(LEFT(F917,6)="Arbeid",RIGHT(F917,3)&lt;&gt;"IKS"),IFERROR(VLOOKUP($G917,Tb_KostenTypen[],2,0),"tarief"),RIGHT(F917,3)="IKS","Uurtarief",LEFT(F917,6)="Arbeid","Uurtarief",AND(LEFT(F917,8)="Bijdrage",RIGHT(F917,15)="(vrijwilligers)"),"Vast tarief"),"")</f>
        <v/>
      </c>
      <c r="O917" s="90"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0"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1"/>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59"/>
      <c r="Z917" s="49"/>
      <c r="AA917" s="37" t="str" cm="1">
        <f t="array" ref="AA917">IFERROR(IF(INDEX(SubsidieTabel!$Q$1:$T$9,MATCH($F917,SubsidieTabel!$Q$1:$Q$9,0),IFERROR(MATCH(Methode_Keuze,SubsidieTabel!$Q$1:$T$1,0),2))&lt;&gt;1=TRUE,"ja",""),"")</f>
        <v/>
      </c>
    </row>
    <row r="918" spans="1:27" ht="15" customHeight="1" x14ac:dyDescent="0.25">
      <c r="A918" s="85"/>
      <c r="B918" s="217" t="str">
        <f>IF(A918&lt;&gt;"",_xlfn.MAXIFS($B$1:B917,$A$1:A917,A918)+1,"")</f>
        <v/>
      </c>
      <c r="C918" s="50"/>
      <c r="D918" s="50"/>
      <c r="E918" s="50"/>
      <c r="F918" s="50"/>
      <c r="G918" s="280"/>
      <c r="H918" s="293"/>
      <c r="I918" s="292"/>
      <c r="J918" s="292"/>
      <c r="K918" s="200"/>
      <c r="L918" s="200"/>
      <c r="M918" s="89" t="str">
        <f>IFERROR(VLOOKUP(H918,Lijsten!$H$1:$I$100,2,0),"")</f>
        <v/>
      </c>
      <c r="N918" s="89" t="str" cm="1">
        <f t="array" ref="N918">IFERROR(_xlfn.IFS(AND(LEFT(F918,6)="Arbeid",RIGHT(F918,3)&lt;&gt;"IKS"),IFERROR(VLOOKUP($G918,Tb_KostenTypen[],2,0),"tarief"),RIGHT(F918,3)="IKS","Uurtarief",LEFT(F918,6)="Arbeid","Uurtarief",AND(LEFT(F918,8)="Bijdrage",RIGHT(F918,15)="(vrijwilligers)"),"Vast tarief"),"")</f>
        <v/>
      </c>
      <c r="O918" s="90"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0"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1"/>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59"/>
      <c r="Z918" s="49"/>
      <c r="AA918" s="37" t="str" cm="1">
        <f t="array" ref="AA918">IFERROR(IF(INDEX(SubsidieTabel!$Q$1:$T$9,MATCH($F918,SubsidieTabel!$Q$1:$Q$9,0),IFERROR(MATCH(Methode_Keuze,SubsidieTabel!$Q$1:$T$1,0),2))&lt;&gt;1=TRUE,"ja",""),"")</f>
        <v/>
      </c>
    </row>
    <row r="919" spans="1:27" ht="15" customHeight="1" x14ac:dyDescent="0.25">
      <c r="A919" s="85"/>
      <c r="B919" s="217" t="str">
        <f>IF(A919&lt;&gt;"",_xlfn.MAXIFS($B$1:B918,$A$1:A918,A919)+1,"")</f>
        <v/>
      </c>
      <c r="C919" s="50"/>
      <c r="D919" s="50"/>
      <c r="E919" s="50"/>
      <c r="F919" s="50"/>
      <c r="G919" s="280"/>
      <c r="H919" s="293"/>
      <c r="I919" s="292"/>
      <c r="J919" s="292"/>
      <c r="K919" s="200"/>
      <c r="L919" s="200"/>
      <c r="M919" s="89" t="str">
        <f>IFERROR(VLOOKUP(H919,Lijsten!$H$1:$I$100,2,0),"")</f>
        <v/>
      </c>
      <c r="N919" s="89" t="str" cm="1">
        <f t="array" ref="N919">IFERROR(_xlfn.IFS(AND(LEFT(F919,6)="Arbeid",RIGHT(F919,3)&lt;&gt;"IKS"),IFERROR(VLOOKUP($G919,Tb_KostenTypen[],2,0),"tarief"),RIGHT(F919,3)="IKS","Uurtarief",LEFT(F919,6)="Arbeid","Uurtarief",AND(LEFT(F919,8)="Bijdrage",RIGHT(F919,15)="(vrijwilligers)"),"Vast tarief"),"")</f>
        <v/>
      </c>
      <c r="O919" s="90"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0"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1"/>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59"/>
      <c r="Z919" s="49"/>
      <c r="AA919" s="37" t="str" cm="1">
        <f t="array" ref="AA919">IFERROR(IF(INDEX(SubsidieTabel!$Q$1:$T$9,MATCH($F919,SubsidieTabel!$Q$1:$Q$9,0),IFERROR(MATCH(Methode_Keuze,SubsidieTabel!$Q$1:$T$1,0),2))&lt;&gt;1=TRUE,"ja",""),"")</f>
        <v/>
      </c>
    </row>
    <row r="920" spans="1:27" ht="15" customHeight="1" x14ac:dyDescent="0.25">
      <c r="A920" s="85"/>
      <c r="B920" s="217" t="str">
        <f>IF(A920&lt;&gt;"",_xlfn.MAXIFS($B$1:B919,$A$1:A919,A920)+1,"")</f>
        <v/>
      </c>
      <c r="C920" s="50"/>
      <c r="D920" s="50"/>
      <c r="E920" s="50"/>
      <c r="F920" s="50"/>
      <c r="G920" s="280"/>
      <c r="H920" s="293"/>
      <c r="I920" s="292"/>
      <c r="J920" s="292"/>
      <c r="K920" s="200"/>
      <c r="L920" s="200"/>
      <c r="M920" s="89" t="str">
        <f>IFERROR(VLOOKUP(H920,Lijsten!$H$1:$I$100,2,0),"")</f>
        <v/>
      </c>
      <c r="N920" s="89" t="str" cm="1">
        <f t="array" ref="N920">IFERROR(_xlfn.IFS(AND(LEFT(F920,6)="Arbeid",RIGHT(F920,3)&lt;&gt;"IKS"),IFERROR(VLOOKUP($G920,Tb_KostenTypen[],2,0),"tarief"),RIGHT(F920,3)="IKS","Uurtarief",LEFT(F920,6)="Arbeid","Uurtarief",AND(LEFT(F920,8)="Bijdrage",RIGHT(F920,15)="(vrijwilligers)"),"Vast tarief"),"")</f>
        <v/>
      </c>
      <c r="O920" s="90"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0"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1"/>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59"/>
      <c r="Z920" s="49"/>
      <c r="AA920" s="37" t="str" cm="1">
        <f t="array" ref="AA920">IFERROR(IF(INDEX(SubsidieTabel!$Q$1:$T$9,MATCH($F920,SubsidieTabel!$Q$1:$Q$9,0),IFERROR(MATCH(Methode_Keuze,SubsidieTabel!$Q$1:$T$1,0),2))&lt;&gt;1=TRUE,"ja",""),"")</f>
        <v/>
      </c>
    </row>
    <row r="921" spans="1:27" ht="15" customHeight="1" x14ac:dyDescent="0.25">
      <c r="A921" s="85"/>
      <c r="B921" s="217" t="str">
        <f>IF(A921&lt;&gt;"",_xlfn.MAXIFS($B$1:B920,$A$1:A920,A921)+1,"")</f>
        <v/>
      </c>
      <c r="C921" s="50"/>
      <c r="D921" s="50"/>
      <c r="E921" s="50"/>
      <c r="F921" s="50"/>
      <c r="G921" s="280"/>
      <c r="H921" s="293"/>
      <c r="I921" s="292"/>
      <c r="J921" s="292"/>
      <c r="K921" s="200"/>
      <c r="L921" s="200"/>
      <c r="M921" s="89" t="str">
        <f>IFERROR(VLOOKUP(H921,Lijsten!$H$1:$I$100,2,0),"")</f>
        <v/>
      </c>
      <c r="N921" s="89" t="str" cm="1">
        <f t="array" ref="N921">IFERROR(_xlfn.IFS(AND(LEFT(F921,6)="Arbeid",RIGHT(F921,3)&lt;&gt;"IKS"),IFERROR(VLOOKUP($G921,Tb_KostenTypen[],2,0),"tarief"),RIGHT(F921,3)="IKS","Uurtarief",LEFT(F921,6)="Arbeid","Uurtarief",AND(LEFT(F921,8)="Bijdrage",RIGHT(F921,15)="(vrijwilligers)"),"Vast tarief"),"")</f>
        <v/>
      </c>
      <c r="O921" s="90"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0"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1"/>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59"/>
      <c r="Z921" s="49"/>
      <c r="AA921" s="37" t="str" cm="1">
        <f t="array" ref="AA921">IFERROR(IF(INDEX(SubsidieTabel!$Q$1:$T$9,MATCH($F921,SubsidieTabel!$Q$1:$Q$9,0),IFERROR(MATCH(Methode_Keuze,SubsidieTabel!$Q$1:$T$1,0),2))&lt;&gt;1=TRUE,"ja",""),"")</f>
        <v/>
      </c>
    </row>
    <row r="922" spans="1:27" ht="15" customHeight="1" x14ac:dyDescent="0.25">
      <c r="A922" s="85"/>
      <c r="B922" s="217" t="str">
        <f>IF(A922&lt;&gt;"",_xlfn.MAXIFS($B$1:B921,$A$1:A921,A922)+1,"")</f>
        <v/>
      </c>
      <c r="C922" s="50"/>
      <c r="D922" s="50"/>
      <c r="E922" s="50"/>
      <c r="F922" s="50"/>
      <c r="G922" s="280"/>
      <c r="H922" s="293"/>
      <c r="I922" s="292"/>
      <c r="J922" s="292"/>
      <c r="K922" s="200"/>
      <c r="L922" s="200"/>
      <c r="M922" s="89" t="str">
        <f>IFERROR(VLOOKUP(H922,Lijsten!$H$1:$I$100,2,0),"")</f>
        <v/>
      </c>
      <c r="N922" s="89" t="str" cm="1">
        <f t="array" ref="N922">IFERROR(_xlfn.IFS(AND(LEFT(F922,6)="Arbeid",RIGHT(F922,3)&lt;&gt;"IKS"),IFERROR(VLOOKUP($G922,Tb_KostenTypen[],2,0),"tarief"),RIGHT(F922,3)="IKS","Uurtarief",LEFT(F922,6)="Arbeid","Uurtarief",AND(LEFT(F922,8)="Bijdrage",RIGHT(F922,15)="(vrijwilligers)"),"Vast tarief"),"")</f>
        <v/>
      </c>
      <c r="O922" s="90"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0"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1"/>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59"/>
      <c r="Z922" s="49"/>
      <c r="AA922" s="37" t="str" cm="1">
        <f t="array" ref="AA922">IFERROR(IF(INDEX(SubsidieTabel!$Q$1:$T$9,MATCH($F922,SubsidieTabel!$Q$1:$Q$9,0),IFERROR(MATCH(Methode_Keuze,SubsidieTabel!$Q$1:$T$1,0),2))&lt;&gt;1=TRUE,"ja",""),"")</f>
        <v/>
      </c>
    </row>
    <row r="923" spans="1:27" ht="15" customHeight="1" x14ac:dyDescent="0.25">
      <c r="A923" s="85"/>
      <c r="B923" s="217" t="str">
        <f>IF(A923&lt;&gt;"",_xlfn.MAXIFS($B$1:B922,$A$1:A922,A923)+1,"")</f>
        <v/>
      </c>
      <c r="C923" s="50"/>
      <c r="D923" s="50"/>
      <c r="E923" s="50"/>
      <c r="F923" s="50"/>
      <c r="G923" s="280"/>
      <c r="H923" s="293"/>
      <c r="I923" s="292"/>
      <c r="J923" s="292"/>
      <c r="K923" s="200"/>
      <c r="L923" s="200"/>
      <c r="M923" s="89" t="str">
        <f>IFERROR(VLOOKUP(H923,Lijsten!$H$1:$I$100,2,0),"")</f>
        <v/>
      </c>
      <c r="N923" s="89" t="str" cm="1">
        <f t="array" ref="N923">IFERROR(_xlfn.IFS(AND(LEFT(F923,6)="Arbeid",RIGHT(F923,3)&lt;&gt;"IKS"),IFERROR(VLOOKUP($G923,Tb_KostenTypen[],2,0),"tarief"),RIGHT(F923,3)="IKS","Uurtarief",LEFT(F923,6)="Arbeid","Uurtarief",AND(LEFT(F923,8)="Bijdrage",RIGHT(F923,15)="(vrijwilligers)"),"Vast tarief"),"")</f>
        <v/>
      </c>
      <c r="O923" s="90"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0"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1"/>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59"/>
      <c r="Z923" s="49"/>
      <c r="AA923" s="37" t="str" cm="1">
        <f t="array" ref="AA923">IFERROR(IF(INDEX(SubsidieTabel!$Q$1:$T$9,MATCH($F923,SubsidieTabel!$Q$1:$Q$9,0),IFERROR(MATCH(Methode_Keuze,SubsidieTabel!$Q$1:$T$1,0),2))&lt;&gt;1=TRUE,"ja",""),"")</f>
        <v/>
      </c>
    </row>
    <row r="924" spans="1:27" ht="15" customHeight="1" x14ac:dyDescent="0.25">
      <c r="A924" s="85"/>
      <c r="B924" s="217" t="str">
        <f>IF(A924&lt;&gt;"",_xlfn.MAXIFS($B$1:B923,$A$1:A923,A924)+1,"")</f>
        <v/>
      </c>
      <c r="C924" s="50"/>
      <c r="D924" s="50"/>
      <c r="E924" s="50"/>
      <c r="F924" s="50"/>
      <c r="G924" s="280"/>
      <c r="H924" s="293"/>
      <c r="I924" s="292"/>
      <c r="J924" s="292"/>
      <c r="K924" s="200"/>
      <c r="L924" s="200"/>
      <c r="M924" s="89" t="str">
        <f>IFERROR(VLOOKUP(H924,Lijsten!$H$1:$I$100,2,0),"")</f>
        <v/>
      </c>
      <c r="N924" s="89" t="str" cm="1">
        <f t="array" ref="N924">IFERROR(_xlfn.IFS(AND(LEFT(F924,6)="Arbeid",RIGHT(F924,3)&lt;&gt;"IKS"),IFERROR(VLOOKUP($G924,Tb_KostenTypen[],2,0),"tarief"),RIGHT(F924,3)="IKS","Uurtarief",LEFT(F924,6)="Arbeid","Uurtarief",AND(LEFT(F924,8)="Bijdrage",RIGHT(F924,15)="(vrijwilligers)"),"Vast tarief"),"")</f>
        <v/>
      </c>
      <c r="O924" s="90"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0"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1"/>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59"/>
      <c r="Z924" s="49"/>
      <c r="AA924" s="37" t="str" cm="1">
        <f t="array" ref="AA924">IFERROR(IF(INDEX(SubsidieTabel!$Q$1:$T$9,MATCH($F924,SubsidieTabel!$Q$1:$Q$9,0),IFERROR(MATCH(Methode_Keuze,SubsidieTabel!$Q$1:$T$1,0),2))&lt;&gt;1=TRUE,"ja",""),"")</f>
        <v/>
      </c>
    </row>
    <row r="925" spans="1:27" ht="15" customHeight="1" x14ac:dyDescent="0.25">
      <c r="A925" s="85"/>
      <c r="B925" s="217" t="str">
        <f>IF(A925&lt;&gt;"",_xlfn.MAXIFS($B$1:B924,$A$1:A924,A925)+1,"")</f>
        <v/>
      </c>
      <c r="C925" s="50"/>
      <c r="D925" s="50"/>
      <c r="E925" s="50"/>
      <c r="F925" s="50"/>
      <c r="G925" s="280"/>
      <c r="H925" s="293"/>
      <c r="I925" s="292"/>
      <c r="J925" s="292"/>
      <c r="K925" s="200"/>
      <c r="L925" s="200"/>
      <c r="M925" s="89" t="str">
        <f>IFERROR(VLOOKUP(H925,Lijsten!$H$1:$I$100,2,0),"")</f>
        <v/>
      </c>
      <c r="N925" s="89" t="str" cm="1">
        <f t="array" ref="N925">IFERROR(_xlfn.IFS(AND(LEFT(F925,6)="Arbeid",RIGHT(F925,3)&lt;&gt;"IKS"),IFERROR(VLOOKUP($G925,Tb_KostenTypen[],2,0),"tarief"),RIGHT(F925,3)="IKS","Uurtarief",LEFT(F925,6)="Arbeid","Uurtarief",AND(LEFT(F925,8)="Bijdrage",RIGHT(F925,15)="(vrijwilligers)"),"Vast tarief"),"")</f>
        <v/>
      </c>
      <c r="O925" s="90"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0"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1"/>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59"/>
      <c r="Z925" s="49"/>
      <c r="AA925" s="37" t="str" cm="1">
        <f t="array" ref="AA925">IFERROR(IF(INDEX(SubsidieTabel!$Q$1:$T$9,MATCH($F925,SubsidieTabel!$Q$1:$Q$9,0),IFERROR(MATCH(Methode_Keuze,SubsidieTabel!$Q$1:$T$1,0),2))&lt;&gt;1=TRUE,"ja",""),"")</f>
        <v/>
      </c>
    </row>
    <row r="926" spans="1:27" ht="15" customHeight="1" x14ac:dyDescent="0.25">
      <c r="A926" s="85"/>
      <c r="B926" s="217" t="str">
        <f>IF(A926&lt;&gt;"",_xlfn.MAXIFS($B$1:B925,$A$1:A925,A926)+1,"")</f>
        <v/>
      </c>
      <c r="C926" s="50"/>
      <c r="D926" s="50"/>
      <c r="E926" s="50"/>
      <c r="F926" s="50"/>
      <c r="G926" s="280"/>
      <c r="H926" s="293"/>
      <c r="I926" s="292"/>
      <c r="J926" s="292"/>
      <c r="K926" s="200"/>
      <c r="L926" s="200"/>
      <c r="M926" s="89" t="str">
        <f>IFERROR(VLOOKUP(H926,Lijsten!$H$1:$I$100,2,0),"")</f>
        <v/>
      </c>
      <c r="N926" s="89" t="str" cm="1">
        <f t="array" ref="N926">IFERROR(_xlfn.IFS(AND(LEFT(F926,6)="Arbeid",RIGHT(F926,3)&lt;&gt;"IKS"),IFERROR(VLOOKUP($G926,Tb_KostenTypen[],2,0),"tarief"),RIGHT(F926,3)="IKS","Uurtarief",LEFT(F926,6)="Arbeid","Uurtarief",AND(LEFT(F926,8)="Bijdrage",RIGHT(F926,15)="(vrijwilligers)"),"Vast tarief"),"")</f>
        <v/>
      </c>
      <c r="O926" s="90"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0"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1"/>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59"/>
      <c r="Z926" s="49"/>
      <c r="AA926" s="37" t="str" cm="1">
        <f t="array" ref="AA926">IFERROR(IF(INDEX(SubsidieTabel!$Q$1:$T$9,MATCH($F926,SubsidieTabel!$Q$1:$Q$9,0),IFERROR(MATCH(Methode_Keuze,SubsidieTabel!$Q$1:$T$1,0),2))&lt;&gt;1=TRUE,"ja",""),"")</f>
        <v/>
      </c>
    </row>
    <row r="927" spans="1:27" ht="15" customHeight="1" x14ac:dyDescent="0.25">
      <c r="A927" s="85"/>
      <c r="B927" s="217" t="str">
        <f>IF(A927&lt;&gt;"",_xlfn.MAXIFS($B$1:B926,$A$1:A926,A927)+1,"")</f>
        <v/>
      </c>
      <c r="C927" s="50"/>
      <c r="D927" s="50"/>
      <c r="E927" s="50"/>
      <c r="F927" s="50"/>
      <c r="G927" s="280"/>
      <c r="H927" s="293"/>
      <c r="I927" s="292"/>
      <c r="J927" s="292"/>
      <c r="K927" s="200"/>
      <c r="L927" s="200"/>
      <c r="M927" s="89" t="str">
        <f>IFERROR(VLOOKUP(H927,Lijsten!$H$1:$I$100,2,0),"")</f>
        <v/>
      </c>
      <c r="N927" s="89" t="str" cm="1">
        <f t="array" ref="N927">IFERROR(_xlfn.IFS(AND(LEFT(F927,6)="Arbeid",RIGHT(F927,3)&lt;&gt;"IKS"),IFERROR(VLOOKUP($G927,Tb_KostenTypen[],2,0),"tarief"),RIGHT(F927,3)="IKS","Uurtarief",LEFT(F927,6)="Arbeid","Uurtarief",AND(LEFT(F927,8)="Bijdrage",RIGHT(F927,15)="(vrijwilligers)"),"Vast tarief"),"")</f>
        <v/>
      </c>
      <c r="O927" s="90"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0"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1"/>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59"/>
      <c r="Z927" s="49"/>
      <c r="AA927" s="37" t="str" cm="1">
        <f t="array" ref="AA927">IFERROR(IF(INDEX(SubsidieTabel!$Q$1:$T$9,MATCH($F927,SubsidieTabel!$Q$1:$Q$9,0),IFERROR(MATCH(Methode_Keuze,SubsidieTabel!$Q$1:$T$1,0),2))&lt;&gt;1=TRUE,"ja",""),"")</f>
        <v/>
      </c>
    </row>
    <row r="928" spans="1:27" ht="15" customHeight="1" x14ac:dyDescent="0.25">
      <c r="A928" s="85"/>
      <c r="B928" s="217" t="str">
        <f>IF(A928&lt;&gt;"",_xlfn.MAXIFS($B$1:B927,$A$1:A927,A928)+1,"")</f>
        <v/>
      </c>
      <c r="C928" s="50"/>
      <c r="D928" s="50"/>
      <c r="E928" s="50"/>
      <c r="F928" s="50"/>
      <c r="G928" s="280"/>
      <c r="H928" s="293"/>
      <c r="I928" s="292"/>
      <c r="J928" s="292"/>
      <c r="K928" s="200"/>
      <c r="L928" s="200"/>
      <c r="M928" s="89" t="str">
        <f>IFERROR(VLOOKUP(H928,Lijsten!$H$1:$I$100,2,0),"")</f>
        <v/>
      </c>
      <c r="N928" s="89" t="str" cm="1">
        <f t="array" ref="N928">IFERROR(_xlfn.IFS(AND(LEFT(F928,6)="Arbeid",RIGHT(F928,3)&lt;&gt;"IKS"),IFERROR(VLOOKUP($G928,Tb_KostenTypen[],2,0),"tarief"),RIGHT(F928,3)="IKS","Uurtarief",LEFT(F928,6)="Arbeid","Uurtarief",AND(LEFT(F928,8)="Bijdrage",RIGHT(F928,15)="(vrijwilligers)"),"Vast tarief"),"")</f>
        <v/>
      </c>
      <c r="O928" s="90"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0"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1"/>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59"/>
      <c r="Z928" s="49"/>
      <c r="AA928" s="37" t="str" cm="1">
        <f t="array" ref="AA928">IFERROR(IF(INDEX(SubsidieTabel!$Q$1:$T$9,MATCH($F928,SubsidieTabel!$Q$1:$Q$9,0),IFERROR(MATCH(Methode_Keuze,SubsidieTabel!$Q$1:$T$1,0),2))&lt;&gt;1=TRUE,"ja",""),"")</f>
        <v/>
      </c>
    </row>
    <row r="929" spans="1:27" ht="15" customHeight="1" x14ac:dyDescent="0.25">
      <c r="A929" s="85"/>
      <c r="B929" s="217" t="str">
        <f>IF(A929&lt;&gt;"",_xlfn.MAXIFS($B$1:B928,$A$1:A928,A929)+1,"")</f>
        <v/>
      </c>
      <c r="C929" s="50"/>
      <c r="D929" s="50"/>
      <c r="E929" s="50"/>
      <c r="F929" s="50"/>
      <c r="G929" s="280"/>
      <c r="H929" s="293"/>
      <c r="I929" s="292"/>
      <c r="J929" s="292"/>
      <c r="K929" s="200"/>
      <c r="L929" s="200"/>
      <c r="M929" s="89" t="str">
        <f>IFERROR(VLOOKUP(H929,Lijsten!$H$1:$I$100,2,0),"")</f>
        <v/>
      </c>
      <c r="N929" s="89" t="str" cm="1">
        <f t="array" ref="N929">IFERROR(_xlfn.IFS(AND(LEFT(F929,6)="Arbeid",RIGHT(F929,3)&lt;&gt;"IKS"),IFERROR(VLOOKUP($G929,Tb_KostenTypen[],2,0),"tarief"),RIGHT(F929,3)="IKS","Uurtarief",LEFT(F929,6)="Arbeid","Uurtarief",AND(LEFT(F929,8)="Bijdrage",RIGHT(F929,15)="(vrijwilligers)"),"Vast tarief"),"")</f>
        <v/>
      </c>
      <c r="O929" s="90"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0"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1"/>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59"/>
      <c r="Z929" s="49"/>
      <c r="AA929" s="37" t="str" cm="1">
        <f t="array" ref="AA929">IFERROR(IF(INDEX(SubsidieTabel!$Q$1:$T$9,MATCH($F929,SubsidieTabel!$Q$1:$Q$9,0),IFERROR(MATCH(Methode_Keuze,SubsidieTabel!$Q$1:$T$1,0),2))&lt;&gt;1=TRUE,"ja",""),"")</f>
        <v/>
      </c>
    </row>
    <row r="930" spans="1:27" ht="15" customHeight="1" x14ac:dyDescent="0.25">
      <c r="A930" s="85"/>
      <c r="B930" s="217" t="str">
        <f>IF(A930&lt;&gt;"",_xlfn.MAXIFS($B$1:B929,$A$1:A929,A930)+1,"")</f>
        <v/>
      </c>
      <c r="C930" s="50"/>
      <c r="D930" s="50"/>
      <c r="E930" s="50"/>
      <c r="F930" s="50"/>
      <c r="G930" s="280"/>
      <c r="H930" s="293"/>
      <c r="I930" s="292"/>
      <c r="J930" s="292"/>
      <c r="K930" s="200"/>
      <c r="L930" s="200"/>
      <c r="M930" s="89" t="str">
        <f>IFERROR(VLOOKUP(H930,Lijsten!$H$1:$I$100,2,0),"")</f>
        <v/>
      </c>
      <c r="N930" s="89" t="str" cm="1">
        <f t="array" ref="N930">IFERROR(_xlfn.IFS(AND(LEFT(F930,6)="Arbeid",RIGHT(F930,3)&lt;&gt;"IKS"),IFERROR(VLOOKUP($G930,Tb_KostenTypen[],2,0),"tarief"),RIGHT(F930,3)="IKS","Uurtarief",LEFT(F930,6)="Arbeid","Uurtarief",AND(LEFT(F930,8)="Bijdrage",RIGHT(F930,15)="(vrijwilligers)"),"Vast tarief"),"")</f>
        <v/>
      </c>
      <c r="O930" s="90"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0"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1"/>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59"/>
      <c r="Z930" s="49"/>
      <c r="AA930" s="37" t="str" cm="1">
        <f t="array" ref="AA930">IFERROR(IF(INDEX(SubsidieTabel!$Q$1:$T$9,MATCH($F930,SubsidieTabel!$Q$1:$Q$9,0),IFERROR(MATCH(Methode_Keuze,SubsidieTabel!$Q$1:$T$1,0),2))&lt;&gt;1=TRUE,"ja",""),"")</f>
        <v/>
      </c>
    </row>
    <row r="931" spans="1:27" ht="15" customHeight="1" x14ac:dyDescent="0.25">
      <c r="A931" s="85"/>
      <c r="B931" s="217" t="str">
        <f>IF(A931&lt;&gt;"",_xlfn.MAXIFS($B$1:B930,$A$1:A930,A931)+1,"")</f>
        <v/>
      </c>
      <c r="C931" s="50"/>
      <c r="D931" s="50"/>
      <c r="E931" s="50"/>
      <c r="F931" s="50"/>
      <c r="G931" s="280"/>
      <c r="H931" s="293"/>
      <c r="I931" s="292"/>
      <c r="J931" s="292"/>
      <c r="K931" s="200"/>
      <c r="L931" s="200"/>
      <c r="M931" s="89" t="str">
        <f>IFERROR(VLOOKUP(H931,Lijsten!$H$1:$I$100,2,0),"")</f>
        <v/>
      </c>
      <c r="N931" s="89" t="str" cm="1">
        <f t="array" ref="N931">IFERROR(_xlfn.IFS(AND(LEFT(F931,6)="Arbeid",RIGHT(F931,3)&lt;&gt;"IKS"),IFERROR(VLOOKUP($G931,Tb_KostenTypen[],2,0),"tarief"),RIGHT(F931,3)="IKS","Uurtarief",LEFT(F931,6)="Arbeid","Uurtarief",AND(LEFT(F931,8)="Bijdrage",RIGHT(F931,15)="(vrijwilligers)"),"Vast tarief"),"")</f>
        <v/>
      </c>
      <c r="O931" s="90"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0"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1"/>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59"/>
      <c r="Z931" s="49"/>
      <c r="AA931" s="37" t="str" cm="1">
        <f t="array" ref="AA931">IFERROR(IF(INDEX(SubsidieTabel!$Q$1:$T$9,MATCH($F931,SubsidieTabel!$Q$1:$Q$9,0),IFERROR(MATCH(Methode_Keuze,SubsidieTabel!$Q$1:$T$1,0),2))&lt;&gt;1=TRUE,"ja",""),"")</f>
        <v/>
      </c>
    </row>
    <row r="932" spans="1:27" ht="15" customHeight="1" x14ac:dyDescent="0.25">
      <c r="A932" s="85"/>
      <c r="B932" s="217" t="str">
        <f>IF(A932&lt;&gt;"",_xlfn.MAXIFS($B$1:B931,$A$1:A931,A932)+1,"")</f>
        <v/>
      </c>
      <c r="C932" s="50"/>
      <c r="D932" s="50"/>
      <c r="E932" s="50"/>
      <c r="F932" s="50"/>
      <c r="G932" s="280"/>
      <c r="H932" s="293"/>
      <c r="I932" s="292"/>
      <c r="J932" s="292"/>
      <c r="K932" s="200"/>
      <c r="L932" s="200"/>
      <c r="M932" s="89" t="str">
        <f>IFERROR(VLOOKUP(H932,Lijsten!$H$1:$I$100,2,0),"")</f>
        <v/>
      </c>
      <c r="N932" s="89" t="str" cm="1">
        <f t="array" ref="N932">IFERROR(_xlfn.IFS(AND(LEFT(F932,6)="Arbeid",RIGHT(F932,3)&lt;&gt;"IKS"),IFERROR(VLOOKUP($G932,Tb_KostenTypen[],2,0),"tarief"),RIGHT(F932,3)="IKS","Uurtarief",LEFT(F932,6)="Arbeid","Uurtarief",AND(LEFT(F932,8)="Bijdrage",RIGHT(F932,15)="(vrijwilligers)"),"Vast tarief"),"")</f>
        <v/>
      </c>
      <c r="O932" s="90"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0"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1"/>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59"/>
      <c r="Z932" s="49"/>
      <c r="AA932" s="37" t="str" cm="1">
        <f t="array" ref="AA932">IFERROR(IF(INDEX(SubsidieTabel!$Q$1:$T$9,MATCH($F932,SubsidieTabel!$Q$1:$Q$9,0),IFERROR(MATCH(Methode_Keuze,SubsidieTabel!$Q$1:$T$1,0),2))&lt;&gt;1=TRUE,"ja",""),"")</f>
        <v/>
      </c>
    </row>
    <row r="933" spans="1:27" ht="15" customHeight="1" x14ac:dyDescent="0.25">
      <c r="A933" s="85"/>
      <c r="B933" s="217" t="str">
        <f>IF(A933&lt;&gt;"",_xlfn.MAXIFS($B$1:B932,$A$1:A932,A933)+1,"")</f>
        <v/>
      </c>
      <c r="C933" s="50"/>
      <c r="D933" s="50"/>
      <c r="E933" s="50"/>
      <c r="F933" s="50"/>
      <c r="G933" s="280"/>
      <c r="H933" s="293"/>
      <c r="I933" s="292"/>
      <c r="J933" s="292"/>
      <c r="K933" s="200"/>
      <c r="L933" s="200"/>
      <c r="M933" s="89" t="str">
        <f>IFERROR(VLOOKUP(H933,Lijsten!$H$1:$I$100,2,0),"")</f>
        <v/>
      </c>
      <c r="N933" s="89" t="str" cm="1">
        <f t="array" ref="N933">IFERROR(_xlfn.IFS(AND(LEFT(F933,6)="Arbeid",RIGHT(F933,3)&lt;&gt;"IKS"),IFERROR(VLOOKUP($G933,Tb_KostenTypen[],2,0),"tarief"),RIGHT(F933,3)="IKS","Uurtarief",LEFT(F933,6)="Arbeid","Uurtarief",AND(LEFT(F933,8)="Bijdrage",RIGHT(F933,15)="(vrijwilligers)"),"Vast tarief"),"")</f>
        <v/>
      </c>
      <c r="O933" s="90"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0"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1"/>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59"/>
      <c r="Z933" s="49"/>
      <c r="AA933" s="37" t="str" cm="1">
        <f t="array" ref="AA933">IFERROR(IF(INDEX(SubsidieTabel!$Q$1:$T$9,MATCH($F933,SubsidieTabel!$Q$1:$Q$9,0),IFERROR(MATCH(Methode_Keuze,SubsidieTabel!$Q$1:$T$1,0),2))&lt;&gt;1=TRUE,"ja",""),"")</f>
        <v/>
      </c>
    </row>
    <row r="934" spans="1:27" ht="15" customHeight="1" x14ac:dyDescent="0.25">
      <c r="A934" s="85"/>
      <c r="B934" s="217" t="str">
        <f>IF(A934&lt;&gt;"",_xlfn.MAXIFS($B$1:B933,$A$1:A933,A934)+1,"")</f>
        <v/>
      </c>
      <c r="C934" s="50"/>
      <c r="D934" s="50"/>
      <c r="E934" s="50"/>
      <c r="F934" s="50"/>
      <c r="G934" s="280"/>
      <c r="H934" s="293"/>
      <c r="I934" s="292"/>
      <c r="J934" s="292"/>
      <c r="K934" s="200"/>
      <c r="L934" s="200"/>
      <c r="M934" s="89" t="str">
        <f>IFERROR(VLOOKUP(H934,Lijsten!$H$1:$I$100,2,0),"")</f>
        <v/>
      </c>
      <c r="N934" s="89" t="str" cm="1">
        <f t="array" ref="N934">IFERROR(_xlfn.IFS(AND(LEFT(F934,6)="Arbeid",RIGHT(F934,3)&lt;&gt;"IKS"),IFERROR(VLOOKUP($G934,Tb_KostenTypen[],2,0),"tarief"),RIGHT(F934,3)="IKS","Uurtarief",LEFT(F934,6)="Arbeid","Uurtarief",AND(LEFT(F934,8)="Bijdrage",RIGHT(F934,15)="(vrijwilligers)"),"Vast tarief"),"")</f>
        <v/>
      </c>
      <c r="O934" s="90"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0"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1"/>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59"/>
      <c r="Z934" s="49"/>
      <c r="AA934" s="37" t="str" cm="1">
        <f t="array" ref="AA934">IFERROR(IF(INDEX(SubsidieTabel!$Q$1:$T$9,MATCH($F934,SubsidieTabel!$Q$1:$Q$9,0),IFERROR(MATCH(Methode_Keuze,SubsidieTabel!$Q$1:$T$1,0),2))&lt;&gt;1=TRUE,"ja",""),"")</f>
        <v/>
      </c>
    </row>
    <row r="935" spans="1:27" ht="15" customHeight="1" x14ac:dyDescent="0.25">
      <c r="A935" s="85"/>
      <c r="B935" s="217" t="str">
        <f>IF(A935&lt;&gt;"",_xlfn.MAXIFS($B$1:B934,$A$1:A934,A935)+1,"")</f>
        <v/>
      </c>
      <c r="C935" s="50"/>
      <c r="D935" s="50"/>
      <c r="E935" s="50"/>
      <c r="F935" s="50"/>
      <c r="G935" s="280"/>
      <c r="H935" s="293"/>
      <c r="I935" s="292"/>
      <c r="J935" s="292"/>
      <c r="K935" s="200"/>
      <c r="L935" s="200"/>
      <c r="M935" s="89" t="str">
        <f>IFERROR(VLOOKUP(H935,Lijsten!$H$1:$I$100,2,0),"")</f>
        <v/>
      </c>
      <c r="N935" s="89" t="str" cm="1">
        <f t="array" ref="N935">IFERROR(_xlfn.IFS(AND(LEFT(F935,6)="Arbeid",RIGHT(F935,3)&lt;&gt;"IKS"),IFERROR(VLOOKUP($G935,Tb_KostenTypen[],2,0),"tarief"),RIGHT(F935,3)="IKS","Uurtarief",LEFT(F935,6)="Arbeid","Uurtarief",AND(LEFT(F935,8)="Bijdrage",RIGHT(F935,15)="(vrijwilligers)"),"Vast tarief"),"")</f>
        <v/>
      </c>
      <c r="O935" s="90"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0"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1"/>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59"/>
      <c r="Z935" s="49"/>
      <c r="AA935" s="37" t="str" cm="1">
        <f t="array" ref="AA935">IFERROR(IF(INDEX(SubsidieTabel!$Q$1:$T$9,MATCH($F935,SubsidieTabel!$Q$1:$Q$9,0),IFERROR(MATCH(Methode_Keuze,SubsidieTabel!$Q$1:$T$1,0),2))&lt;&gt;1=TRUE,"ja",""),"")</f>
        <v/>
      </c>
    </row>
    <row r="936" spans="1:27" ht="15" customHeight="1" x14ac:dyDescent="0.25">
      <c r="A936" s="85"/>
      <c r="B936" s="217" t="str">
        <f>IF(A936&lt;&gt;"",_xlfn.MAXIFS($B$1:B935,$A$1:A935,A936)+1,"")</f>
        <v/>
      </c>
      <c r="C936" s="50"/>
      <c r="D936" s="50"/>
      <c r="E936" s="50"/>
      <c r="F936" s="50"/>
      <c r="G936" s="280"/>
      <c r="H936" s="293"/>
      <c r="I936" s="292"/>
      <c r="J936" s="292"/>
      <c r="K936" s="200"/>
      <c r="L936" s="200"/>
      <c r="M936" s="89" t="str">
        <f>IFERROR(VLOOKUP(H936,Lijsten!$H$1:$I$100,2,0),"")</f>
        <v/>
      </c>
      <c r="N936" s="89" t="str" cm="1">
        <f t="array" ref="N936">IFERROR(_xlfn.IFS(AND(LEFT(F936,6)="Arbeid",RIGHT(F936,3)&lt;&gt;"IKS"),IFERROR(VLOOKUP($G936,Tb_KostenTypen[],2,0),"tarief"),RIGHT(F936,3)="IKS","Uurtarief",LEFT(F936,6)="Arbeid","Uurtarief",AND(LEFT(F936,8)="Bijdrage",RIGHT(F936,15)="(vrijwilligers)"),"Vast tarief"),"")</f>
        <v/>
      </c>
      <c r="O936" s="90"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0"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1"/>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59"/>
      <c r="Z936" s="49"/>
      <c r="AA936" s="37" t="str" cm="1">
        <f t="array" ref="AA936">IFERROR(IF(INDEX(SubsidieTabel!$Q$1:$T$9,MATCH($F936,SubsidieTabel!$Q$1:$Q$9,0),IFERROR(MATCH(Methode_Keuze,SubsidieTabel!$Q$1:$T$1,0),2))&lt;&gt;1=TRUE,"ja",""),"")</f>
        <v/>
      </c>
    </row>
    <row r="937" spans="1:27" ht="15" customHeight="1" x14ac:dyDescent="0.25">
      <c r="A937" s="85"/>
      <c r="B937" s="217" t="str">
        <f>IF(A937&lt;&gt;"",_xlfn.MAXIFS($B$1:B936,$A$1:A936,A937)+1,"")</f>
        <v/>
      </c>
      <c r="C937" s="50"/>
      <c r="D937" s="50"/>
      <c r="E937" s="50"/>
      <c r="F937" s="50"/>
      <c r="G937" s="280"/>
      <c r="H937" s="293"/>
      <c r="I937" s="292"/>
      <c r="J937" s="292"/>
      <c r="K937" s="200"/>
      <c r="L937" s="200"/>
      <c r="M937" s="89" t="str">
        <f>IFERROR(VLOOKUP(H937,Lijsten!$H$1:$I$100,2,0),"")</f>
        <v/>
      </c>
      <c r="N937" s="89" t="str" cm="1">
        <f t="array" ref="N937">IFERROR(_xlfn.IFS(AND(LEFT(F937,6)="Arbeid",RIGHT(F937,3)&lt;&gt;"IKS"),IFERROR(VLOOKUP($G937,Tb_KostenTypen[],2,0),"tarief"),RIGHT(F937,3)="IKS","Uurtarief",LEFT(F937,6)="Arbeid","Uurtarief",AND(LEFT(F937,8)="Bijdrage",RIGHT(F937,15)="(vrijwilligers)"),"Vast tarief"),"")</f>
        <v/>
      </c>
      <c r="O937" s="90"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0"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1"/>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59"/>
      <c r="Z937" s="49"/>
      <c r="AA937" s="37" t="str" cm="1">
        <f t="array" ref="AA937">IFERROR(IF(INDEX(SubsidieTabel!$Q$1:$T$9,MATCH($F937,SubsidieTabel!$Q$1:$Q$9,0),IFERROR(MATCH(Methode_Keuze,SubsidieTabel!$Q$1:$T$1,0),2))&lt;&gt;1=TRUE,"ja",""),"")</f>
        <v/>
      </c>
    </row>
    <row r="938" spans="1:27" ht="15" customHeight="1" x14ac:dyDescent="0.25">
      <c r="A938" s="85"/>
      <c r="B938" s="217" t="str">
        <f>IF(A938&lt;&gt;"",_xlfn.MAXIFS($B$1:B937,$A$1:A937,A938)+1,"")</f>
        <v/>
      </c>
      <c r="C938" s="50"/>
      <c r="D938" s="50"/>
      <c r="E938" s="50"/>
      <c r="F938" s="50"/>
      <c r="G938" s="280"/>
      <c r="H938" s="293"/>
      <c r="I938" s="292"/>
      <c r="J938" s="292"/>
      <c r="K938" s="200"/>
      <c r="L938" s="200"/>
      <c r="M938" s="89" t="str">
        <f>IFERROR(VLOOKUP(H938,Lijsten!$H$1:$I$100,2,0),"")</f>
        <v/>
      </c>
      <c r="N938" s="89" t="str" cm="1">
        <f t="array" ref="N938">IFERROR(_xlfn.IFS(AND(LEFT(F938,6)="Arbeid",RIGHT(F938,3)&lt;&gt;"IKS"),IFERROR(VLOOKUP($G938,Tb_KostenTypen[],2,0),"tarief"),RIGHT(F938,3)="IKS","Uurtarief",LEFT(F938,6)="Arbeid","Uurtarief",AND(LEFT(F938,8)="Bijdrage",RIGHT(F938,15)="(vrijwilligers)"),"Vast tarief"),"")</f>
        <v/>
      </c>
      <c r="O938" s="90"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0"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1"/>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59"/>
      <c r="Z938" s="49"/>
      <c r="AA938" s="37" t="str" cm="1">
        <f t="array" ref="AA938">IFERROR(IF(INDEX(SubsidieTabel!$Q$1:$T$9,MATCH($F938,SubsidieTabel!$Q$1:$Q$9,0),IFERROR(MATCH(Methode_Keuze,SubsidieTabel!$Q$1:$T$1,0),2))&lt;&gt;1=TRUE,"ja",""),"")</f>
        <v/>
      </c>
    </row>
    <row r="939" spans="1:27" ht="15" customHeight="1" x14ac:dyDescent="0.25">
      <c r="A939" s="85"/>
      <c r="B939" s="217" t="str">
        <f>IF(A939&lt;&gt;"",_xlfn.MAXIFS($B$1:B938,$A$1:A938,A939)+1,"")</f>
        <v/>
      </c>
      <c r="C939" s="50"/>
      <c r="D939" s="50"/>
      <c r="E939" s="50"/>
      <c r="F939" s="50"/>
      <c r="G939" s="280"/>
      <c r="H939" s="293"/>
      <c r="I939" s="292"/>
      <c r="J939" s="292"/>
      <c r="K939" s="200"/>
      <c r="L939" s="200"/>
      <c r="M939" s="89" t="str">
        <f>IFERROR(VLOOKUP(H939,Lijsten!$H$1:$I$100,2,0),"")</f>
        <v/>
      </c>
      <c r="N939" s="89" t="str" cm="1">
        <f t="array" ref="N939">IFERROR(_xlfn.IFS(AND(LEFT(F939,6)="Arbeid",RIGHT(F939,3)&lt;&gt;"IKS"),IFERROR(VLOOKUP($G939,Tb_KostenTypen[],2,0),"tarief"),RIGHT(F939,3)="IKS","Uurtarief",LEFT(F939,6)="Arbeid","Uurtarief",AND(LEFT(F939,8)="Bijdrage",RIGHT(F939,15)="(vrijwilligers)"),"Vast tarief"),"")</f>
        <v/>
      </c>
      <c r="O939" s="90"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0"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1"/>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59"/>
      <c r="Z939" s="49"/>
      <c r="AA939" s="37" t="str" cm="1">
        <f t="array" ref="AA939">IFERROR(IF(INDEX(SubsidieTabel!$Q$1:$T$9,MATCH($F939,SubsidieTabel!$Q$1:$Q$9,0),IFERROR(MATCH(Methode_Keuze,SubsidieTabel!$Q$1:$T$1,0),2))&lt;&gt;1=TRUE,"ja",""),"")</f>
        <v/>
      </c>
    </row>
    <row r="940" spans="1:27" ht="15" customHeight="1" x14ac:dyDescent="0.25">
      <c r="A940" s="85"/>
      <c r="B940" s="217" t="str">
        <f>IF(A940&lt;&gt;"",_xlfn.MAXIFS($B$1:B939,$A$1:A939,A940)+1,"")</f>
        <v/>
      </c>
      <c r="C940" s="50"/>
      <c r="D940" s="50"/>
      <c r="E940" s="50"/>
      <c r="F940" s="50"/>
      <c r="G940" s="280"/>
      <c r="H940" s="293"/>
      <c r="I940" s="292"/>
      <c r="J940" s="292"/>
      <c r="K940" s="200"/>
      <c r="L940" s="200"/>
      <c r="M940" s="89" t="str">
        <f>IFERROR(VLOOKUP(H940,Lijsten!$H$1:$I$100,2,0),"")</f>
        <v/>
      </c>
      <c r="N940" s="89" t="str" cm="1">
        <f t="array" ref="N940">IFERROR(_xlfn.IFS(AND(LEFT(F940,6)="Arbeid",RIGHT(F940,3)&lt;&gt;"IKS"),IFERROR(VLOOKUP($G940,Tb_KostenTypen[],2,0),"tarief"),RIGHT(F940,3)="IKS","Uurtarief",LEFT(F940,6)="Arbeid","Uurtarief",AND(LEFT(F940,8)="Bijdrage",RIGHT(F940,15)="(vrijwilligers)"),"Vast tarief"),"")</f>
        <v/>
      </c>
      <c r="O940" s="90"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0"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1"/>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59"/>
      <c r="Z940" s="49"/>
      <c r="AA940" s="37" t="str" cm="1">
        <f t="array" ref="AA940">IFERROR(IF(INDEX(SubsidieTabel!$Q$1:$T$9,MATCH($F940,SubsidieTabel!$Q$1:$Q$9,0),IFERROR(MATCH(Methode_Keuze,SubsidieTabel!$Q$1:$T$1,0),2))&lt;&gt;1=TRUE,"ja",""),"")</f>
        <v/>
      </c>
    </row>
    <row r="941" spans="1:27" ht="15" customHeight="1" x14ac:dyDescent="0.25">
      <c r="A941" s="85"/>
      <c r="B941" s="217" t="str">
        <f>IF(A941&lt;&gt;"",_xlfn.MAXIFS($B$1:B940,$A$1:A940,A941)+1,"")</f>
        <v/>
      </c>
      <c r="C941" s="50"/>
      <c r="D941" s="50"/>
      <c r="E941" s="50"/>
      <c r="F941" s="50"/>
      <c r="G941" s="280"/>
      <c r="H941" s="293"/>
      <c r="I941" s="292"/>
      <c r="J941" s="292"/>
      <c r="K941" s="200"/>
      <c r="L941" s="200"/>
      <c r="M941" s="89" t="str">
        <f>IFERROR(VLOOKUP(H941,Lijsten!$H$1:$I$100,2,0),"")</f>
        <v/>
      </c>
      <c r="N941" s="89" t="str" cm="1">
        <f t="array" ref="N941">IFERROR(_xlfn.IFS(AND(LEFT(F941,6)="Arbeid",RIGHT(F941,3)&lt;&gt;"IKS"),IFERROR(VLOOKUP($G941,Tb_KostenTypen[],2,0),"tarief"),RIGHT(F941,3)="IKS","Uurtarief",LEFT(F941,6)="Arbeid","Uurtarief",AND(LEFT(F941,8)="Bijdrage",RIGHT(F941,15)="(vrijwilligers)"),"Vast tarief"),"")</f>
        <v/>
      </c>
      <c r="O941" s="90"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0"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1"/>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59"/>
      <c r="Z941" s="49"/>
      <c r="AA941" s="37" t="str" cm="1">
        <f t="array" ref="AA941">IFERROR(IF(INDEX(SubsidieTabel!$Q$1:$T$9,MATCH($F941,SubsidieTabel!$Q$1:$Q$9,0),IFERROR(MATCH(Methode_Keuze,SubsidieTabel!$Q$1:$T$1,0),2))&lt;&gt;1=TRUE,"ja",""),"")</f>
        <v/>
      </c>
    </row>
    <row r="942" spans="1:27" ht="15" customHeight="1" x14ac:dyDescent="0.25">
      <c r="A942" s="85"/>
      <c r="B942" s="217" t="str">
        <f>IF(A942&lt;&gt;"",_xlfn.MAXIFS($B$1:B941,$A$1:A941,A942)+1,"")</f>
        <v/>
      </c>
      <c r="C942" s="50"/>
      <c r="D942" s="50"/>
      <c r="E942" s="50"/>
      <c r="F942" s="50"/>
      <c r="G942" s="280"/>
      <c r="H942" s="293"/>
      <c r="I942" s="292"/>
      <c r="J942" s="292"/>
      <c r="K942" s="200"/>
      <c r="L942" s="200"/>
      <c r="M942" s="89" t="str">
        <f>IFERROR(VLOOKUP(H942,Lijsten!$H$1:$I$100,2,0),"")</f>
        <v/>
      </c>
      <c r="N942" s="89" t="str" cm="1">
        <f t="array" ref="N942">IFERROR(_xlfn.IFS(AND(LEFT(F942,6)="Arbeid",RIGHT(F942,3)&lt;&gt;"IKS"),IFERROR(VLOOKUP($G942,Tb_KostenTypen[],2,0),"tarief"),RIGHT(F942,3)="IKS","Uurtarief",LEFT(F942,6)="Arbeid","Uurtarief",AND(LEFT(F942,8)="Bijdrage",RIGHT(F942,15)="(vrijwilligers)"),"Vast tarief"),"")</f>
        <v/>
      </c>
      <c r="O942" s="90"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0"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1"/>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59"/>
      <c r="Z942" s="49"/>
      <c r="AA942" s="37" t="str" cm="1">
        <f t="array" ref="AA942">IFERROR(IF(INDEX(SubsidieTabel!$Q$1:$T$9,MATCH($F942,SubsidieTabel!$Q$1:$Q$9,0),IFERROR(MATCH(Methode_Keuze,SubsidieTabel!$Q$1:$T$1,0),2))&lt;&gt;1=TRUE,"ja",""),"")</f>
        <v/>
      </c>
    </row>
    <row r="943" spans="1:27" ht="15" customHeight="1" x14ac:dyDescent="0.25">
      <c r="A943" s="85"/>
      <c r="B943" s="217" t="str">
        <f>IF(A943&lt;&gt;"",_xlfn.MAXIFS($B$1:B942,$A$1:A942,A943)+1,"")</f>
        <v/>
      </c>
      <c r="C943" s="50"/>
      <c r="D943" s="50"/>
      <c r="E943" s="50"/>
      <c r="F943" s="50"/>
      <c r="G943" s="280"/>
      <c r="H943" s="293"/>
      <c r="I943" s="292"/>
      <c r="J943" s="292"/>
      <c r="K943" s="200"/>
      <c r="L943" s="200"/>
      <c r="M943" s="89" t="str">
        <f>IFERROR(VLOOKUP(H943,Lijsten!$H$1:$I$100,2,0),"")</f>
        <v/>
      </c>
      <c r="N943" s="89" t="str" cm="1">
        <f t="array" ref="N943">IFERROR(_xlfn.IFS(AND(LEFT(F943,6)="Arbeid",RIGHT(F943,3)&lt;&gt;"IKS"),IFERROR(VLOOKUP($G943,Tb_KostenTypen[],2,0),"tarief"),RIGHT(F943,3)="IKS","Uurtarief",LEFT(F943,6)="Arbeid","Uurtarief",AND(LEFT(F943,8)="Bijdrage",RIGHT(F943,15)="(vrijwilligers)"),"Vast tarief"),"")</f>
        <v/>
      </c>
      <c r="O943" s="90"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0"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1"/>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59"/>
      <c r="Z943" s="49"/>
      <c r="AA943" s="37" t="str" cm="1">
        <f t="array" ref="AA943">IFERROR(IF(INDEX(SubsidieTabel!$Q$1:$T$9,MATCH($F943,SubsidieTabel!$Q$1:$Q$9,0),IFERROR(MATCH(Methode_Keuze,SubsidieTabel!$Q$1:$T$1,0),2))&lt;&gt;1=TRUE,"ja",""),"")</f>
        <v/>
      </c>
    </row>
    <row r="944" spans="1:27" ht="15" customHeight="1" x14ac:dyDescent="0.25">
      <c r="A944" s="85"/>
      <c r="B944" s="217" t="str">
        <f>IF(A944&lt;&gt;"",_xlfn.MAXIFS($B$1:B943,$A$1:A943,A944)+1,"")</f>
        <v/>
      </c>
      <c r="C944" s="50"/>
      <c r="D944" s="50"/>
      <c r="E944" s="50"/>
      <c r="F944" s="50"/>
      <c r="G944" s="280"/>
      <c r="H944" s="293"/>
      <c r="I944" s="292"/>
      <c r="J944" s="292"/>
      <c r="K944" s="200"/>
      <c r="L944" s="200"/>
      <c r="M944" s="89" t="str">
        <f>IFERROR(VLOOKUP(H944,Lijsten!$H$1:$I$100,2,0),"")</f>
        <v/>
      </c>
      <c r="N944" s="89" t="str" cm="1">
        <f t="array" ref="N944">IFERROR(_xlfn.IFS(AND(LEFT(F944,6)="Arbeid",RIGHT(F944,3)&lt;&gt;"IKS"),IFERROR(VLOOKUP($G944,Tb_KostenTypen[],2,0),"tarief"),RIGHT(F944,3)="IKS","Uurtarief",LEFT(F944,6)="Arbeid","Uurtarief",AND(LEFT(F944,8)="Bijdrage",RIGHT(F944,15)="(vrijwilligers)"),"Vast tarief"),"")</f>
        <v/>
      </c>
      <c r="O944" s="90"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0"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1"/>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59"/>
      <c r="Z944" s="49"/>
      <c r="AA944" s="37" t="str" cm="1">
        <f t="array" ref="AA944">IFERROR(IF(INDEX(SubsidieTabel!$Q$1:$T$9,MATCH($F944,SubsidieTabel!$Q$1:$Q$9,0),IFERROR(MATCH(Methode_Keuze,SubsidieTabel!$Q$1:$T$1,0),2))&lt;&gt;1=TRUE,"ja",""),"")</f>
        <v/>
      </c>
    </row>
    <row r="945" spans="1:27" ht="15" customHeight="1" x14ac:dyDescent="0.25">
      <c r="A945" s="85"/>
      <c r="B945" s="217" t="str">
        <f>IF(A945&lt;&gt;"",_xlfn.MAXIFS($B$1:B944,$A$1:A944,A945)+1,"")</f>
        <v/>
      </c>
      <c r="C945" s="50"/>
      <c r="D945" s="50"/>
      <c r="E945" s="50"/>
      <c r="F945" s="50"/>
      <c r="G945" s="280"/>
      <c r="H945" s="293"/>
      <c r="I945" s="292"/>
      <c r="J945" s="292"/>
      <c r="K945" s="200"/>
      <c r="L945" s="200"/>
      <c r="M945" s="89" t="str">
        <f>IFERROR(VLOOKUP(H945,Lijsten!$H$1:$I$100,2,0),"")</f>
        <v/>
      </c>
      <c r="N945" s="89" t="str" cm="1">
        <f t="array" ref="N945">IFERROR(_xlfn.IFS(AND(LEFT(F945,6)="Arbeid",RIGHT(F945,3)&lt;&gt;"IKS"),IFERROR(VLOOKUP($G945,Tb_KostenTypen[],2,0),"tarief"),RIGHT(F945,3)="IKS","Uurtarief",LEFT(F945,6)="Arbeid","Uurtarief",AND(LEFT(F945,8)="Bijdrage",RIGHT(F945,15)="(vrijwilligers)"),"Vast tarief"),"")</f>
        <v/>
      </c>
      <c r="O945" s="90"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0"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1"/>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59"/>
      <c r="Z945" s="49"/>
      <c r="AA945" s="37" t="str" cm="1">
        <f t="array" ref="AA945">IFERROR(IF(INDEX(SubsidieTabel!$Q$1:$T$9,MATCH($F945,SubsidieTabel!$Q$1:$Q$9,0),IFERROR(MATCH(Methode_Keuze,SubsidieTabel!$Q$1:$T$1,0),2))&lt;&gt;1=TRUE,"ja",""),"")</f>
        <v/>
      </c>
    </row>
    <row r="946" spans="1:27" ht="15" customHeight="1" x14ac:dyDescent="0.25">
      <c r="A946" s="85"/>
      <c r="B946" s="217" t="str">
        <f>IF(A946&lt;&gt;"",_xlfn.MAXIFS($B$1:B945,$A$1:A945,A946)+1,"")</f>
        <v/>
      </c>
      <c r="C946" s="50"/>
      <c r="D946" s="50"/>
      <c r="E946" s="50"/>
      <c r="F946" s="50"/>
      <c r="G946" s="280"/>
      <c r="H946" s="293"/>
      <c r="I946" s="292"/>
      <c r="J946" s="292"/>
      <c r="K946" s="200"/>
      <c r="L946" s="200"/>
      <c r="M946" s="89" t="str">
        <f>IFERROR(VLOOKUP(H946,Lijsten!$H$1:$I$100,2,0),"")</f>
        <v/>
      </c>
      <c r="N946" s="89" t="str" cm="1">
        <f t="array" ref="N946">IFERROR(_xlfn.IFS(AND(LEFT(F946,6)="Arbeid",RIGHT(F946,3)&lt;&gt;"IKS"),IFERROR(VLOOKUP($G946,Tb_KostenTypen[],2,0),"tarief"),RIGHT(F946,3)="IKS","Uurtarief",LEFT(F946,6)="Arbeid","Uurtarief",AND(LEFT(F946,8)="Bijdrage",RIGHT(F946,15)="(vrijwilligers)"),"Vast tarief"),"")</f>
        <v/>
      </c>
      <c r="O946" s="90"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0"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1"/>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59"/>
      <c r="Z946" s="49"/>
      <c r="AA946" s="37" t="str" cm="1">
        <f t="array" ref="AA946">IFERROR(IF(INDEX(SubsidieTabel!$Q$1:$T$9,MATCH($F946,SubsidieTabel!$Q$1:$Q$9,0),IFERROR(MATCH(Methode_Keuze,SubsidieTabel!$Q$1:$T$1,0),2))&lt;&gt;1=TRUE,"ja",""),"")</f>
        <v/>
      </c>
    </row>
    <row r="947" spans="1:27" ht="15" customHeight="1" x14ac:dyDescent="0.25">
      <c r="A947" s="85"/>
      <c r="B947" s="217" t="str">
        <f>IF(A947&lt;&gt;"",_xlfn.MAXIFS($B$1:B946,$A$1:A946,A947)+1,"")</f>
        <v/>
      </c>
      <c r="C947" s="50"/>
      <c r="D947" s="50"/>
      <c r="E947" s="50"/>
      <c r="F947" s="50"/>
      <c r="G947" s="280"/>
      <c r="H947" s="293"/>
      <c r="I947" s="292"/>
      <c r="J947" s="292"/>
      <c r="K947" s="200"/>
      <c r="L947" s="200"/>
      <c r="M947" s="89" t="str">
        <f>IFERROR(VLOOKUP(H947,Lijsten!$H$1:$I$100,2,0),"")</f>
        <v/>
      </c>
      <c r="N947" s="89" t="str" cm="1">
        <f t="array" ref="N947">IFERROR(_xlfn.IFS(AND(LEFT(F947,6)="Arbeid",RIGHT(F947,3)&lt;&gt;"IKS"),IFERROR(VLOOKUP($G947,Tb_KostenTypen[],2,0),"tarief"),RIGHT(F947,3)="IKS","Uurtarief",LEFT(F947,6)="Arbeid","Uurtarief",AND(LEFT(F947,8)="Bijdrage",RIGHT(F947,15)="(vrijwilligers)"),"Vast tarief"),"")</f>
        <v/>
      </c>
      <c r="O947" s="90"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0"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1"/>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59"/>
      <c r="Z947" s="49"/>
      <c r="AA947" s="37" t="str" cm="1">
        <f t="array" ref="AA947">IFERROR(IF(INDEX(SubsidieTabel!$Q$1:$T$9,MATCH($F947,SubsidieTabel!$Q$1:$Q$9,0),IFERROR(MATCH(Methode_Keuze,SubsidieTabel!$Q$1:$T$1,0),2))&lt;&gt;1=TRUE,"ja",""),"")</f>
        <v/>
      </c>
    </row>
    <row r="948" spans="1:27" ht="15" customHeight="1" x14ac:dyDescent="0.25">
      <c r="A948" s="85"/>
      <c r="B948" s="217" t="str">
        <f>IF(A948&lt;&gt;"",_xlfn.MAXIFS($B$1:B947,$A$1:A947,A948)+1,"")</f>
        <v/>
      </c>
      <c r="C948" s="50"/>
      <c r="D948" s="50"/>
      <c r="E948" s="50"/>
      <c r="F948" s="50"/>
      <c r="G948" s="280"/>
      <c r="H948" s="293"/>
      <c r="I948" s="292"/>
      <c r="J948" s="292"/>
      <c r="K948" s="200"/>
      <c r="L948" s="200"/>
      <c r="M948" s="89" t="str">
        <f>IFERROR(VLOOKUP(H948,Lijsten!$H$1:$I$100,2,0),"")</f>
        <v/>
      </c>
      <c r="N948" s="89" t="str" cm="1">
        <f t="array" ref="N948">IFERROR(_xlfn.IFS(AND(LEFT(F948,6)="Arbeid",RIGHT(F948,3)&lt;&gt;"IKS"),IFERROR(VLOOKUP($G948,Tb_KostenTypen[],2,0),"tarief"),RIGHT(F948,3)="IKS","Uurtarief",LEFT(F948,6)="Arbeid","Uurtarief",AND(LEFT(F948,8)="Bijdrage",RIGHT(F948,15)="(vrijwilligers)"),"Vast tarief"),"")</f>
        <v/>
      </c>
      <c r="O948" s="90"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0"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1"/>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59"/>
      <c r="Z948" s="49"/>
      <c r="AA948" s="37" t="str" cm="1">
        <f t="array" ref="AA948">IFERROR(IF(INDEX(SubsidieTabel!$Q$1:$T$9,MATCH($F948,SubsidieTabel!$Q$1:$Q$9,0),IFERROR(MATCH(Methode_Keuze,SubsidieTabel!$Q$1:$T$1,0),2))&lt;&gt;1=TRUE,"ja",""),"")</f>
        <v/>
      </c>
    </row>
    <row r="949" spans="1:27" ht="15" customHeight="1" x14ac:dyDescent="0.25">
      <c r="A949" s="85"/>
      <c r="B949" s="217" t="str">
        <f>IF(A949&lt;&gt;"",_xlfn.MAXIFS($B$1:B948,$A$1:A948,A949)+1,"")</f>
        <v/>
      </c>
      <c r="C949" s="50"/>
      <c r="D949" s="50"/>
      <c r="E949" s="50"/>
      <c r="F949" s="50"/>
      <c r="G949" s="280"/>
      <c r="H949" s="293"/>
      <c r="I949" s="292"/>
      <c r="J949" s="292"/>
      <c r="K949" s="200"/>
      <c r="L949" s="200"/>
      <c r="M949" s="89" t="str">
        <f>IFERROR(VLOOKUP(H949,Lijsten!$H$1:$I$100,2,0),"")</f>
        <v/>
      </c>
      <c r="N949" s="89" t="str" cm="1">
        <f t="array" ref="N949">IFERROR(_xlfn.IFS(AND(LEFT(F949,6)="Arbeid",RIGHT(F949,3)&lt;&gt;"IKS"),IFERROR(VLOOKUP($G949,Tb_KostenTypen[],2,0),"tarief"),RIGHT(F949,3)="IKS","Uurtarief",LEFT(F949,6)="Arbeid","Uurtarief",AND(LEFT(F949,8)="Bijdrage",RIGHT(F949,15)="(vrijwilligers)"),"Vast tarief"),"")</f>
        <v/>
      </c>
      <c r="O949" s="90"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0"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1"/>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59"/>
      <c r="Z949" s="49"/>
      <c r="AA949" s="37" t="str" cm="1">
        <f t="array" ref="AA949">IFERROR(IF(INDEX(SubsidieTabel!$Q$1:$T$9,MATCH($F949,SubsidieTabel!$Q$1:$Q$9,0),IFERROR(MATCH(Methode_Keuze,SubsidieTabel!$Q$1:$T$1,0),2))&lt;&gt;1=TRUE,"ja",""),"")</f>
        <v/>
      </c>
    </row>
    <row r="950" spans="1:27" ht="15" customHeight="1" x14ac:dyDescent="0.25">
      <c r="A950" s="85"/>
      <c r="B950" s="217" t="str">
        <f>IF(A950&lt;&gt;"",_xlfn.MAXIFS($B$1:B949,$A$1:A949,A950)+1,"")</f>
        <v/>
      </c>
      <c r="C950" s="50"/>
      <c r="D950" s="50"/>
      <c r="E950" s="50"/>
      <c r="F950" s="50"/>
      <c r="G950" s="280"/>
      <c r="H950" s="293"/>
      <c r="I950" s="292"/>
      <c r="J950" s="292"/>
      <c r="K950" s="200"/>
      <c r="L950" s="200"/>
      <c r="M950" s="89" t="str">
        <f>IFERROR(VLOOKUP(H950,Lijsten!$H$1:$I$100,2,0),"")</f>
        <v/>
      </c>
      <c r="N950" s="89" t="str" cm="1">
        <f t="array" ref="N950">IFERROR(_xlfn.IFS(AND(LEFT(F950,6)="Arbeid",RIGHT(F950,3)&lt;&gt;"IKS"),IFERROR(VLOOKUP($G950,Tb_KostenTypen[],2,0),"tarief"),RIGHT(F950,3)="IKS","Uurtarief",LEFT(F950,6)="Arbeid","Uurtarief",AND(LEFT(F950,8)="Bijdrage",RIGHT(F950,15)="(vrijwilligers)"),"Vast tarief"),"")</f>
        <v/>
      </c>
      <c r="O950" s="90"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0"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1"/>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59"/>
      <c r="Z950" s="49"/>
      <c r="AA950" s="37" t="str" cm="1">
        <f t="array" ref="AA950">IFERROR(IF(INDEX(SubsidieTabel!$Q$1:$T$9,MATCH($F950,SubsidieTabel!$Q$1:$Q$9,0),IFERROR(MATCH(Methode_Keuze,SubsidieTabel!$Q$1:$T$1,0),2))&lt;&gt;1=TRUE,"ja",""),"")</f>
        <v/>
      </c>
    </row>
    <row r="951" spans="1:27" ht="15" customHeight="1" x14ac:dyDescent="0.25">
      <c r="A951" s="85"/>
      <c r="B951" s="217" t="str">
        <f>IF(A951&lt;&gt;"",_xlfn.MAXIFS($B$1:B950,$A$1:A950,A951)+1,"")</f>
        <v/>
      </c>
      <c r="C951" s="50"/>
      <c r="D951" s="50"/>
      <c r="E951" s="50"/>
      <c r="F951" s="50"/>
      <c r="G951" s="280"/>
      <c r="H951" s="293"/>
      <c r="I951" s="292"/>
      <c r="J951" s="292"/>
      <c r="K951" s="200"/>
      <c r="L951" s="200"/>
      <c r="M951" s="89" t="str">
        <f>IFERROR(VLOOKUP(H951,Lijsten!$H$1:$I$100,2,0),"")</f>
        <v/>
      </c>
      <c r="N951" s="89" t="str" cm="1">
        <f t="array" ref="N951">IFERROR(_xlfn.IFS(AND(LEFT(F951,6)="Arbeid",RIGHT(F951,3)&lt;&gt;"IKS"),IFERROR(VLOOKUP($G951,Tb_KostenTypen[],2,0),"tarief"),RIGHT(F951,3)="IKS","Uurtarief",LEFT(F951,6)="Arbeid","Uurtarief",AND(LEFT(F951,8)="Bijdrage",RIGHT(F951,15)="(vrijwilligers)"),"Vast tarief"),"")</f>
        <v/>
      </c>
      <c r="O951" s="90"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0"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1"/>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59"/>
      <c r="Z951" s="49"/>
      <c r="AA951" s="37" t="str" cm="1">
        <f t="array" ref="AA951">IFERROR(IF(INDEX(SubsidieTabel!$Q$1:$T$9,MATCH($F951,SubsidieTabel!$Q$1:$Q$9,0),IFERROR(MATCH(Methode_Keuze,SubsidieTabel!$Q$1:$T$1,0),2))&lt;&gt;1=TRUE,"ja",""),"")</f>
        <v/>
      </c>
    </row>
    <row r="952" spans="1:27" ht="15" customHeight="1" x14ac:dyDescent="0.25">
      <c r="A952" s="85"/>
      <c r="B952" s="217" t="str">
        <f>IF(A952&lt;&gt;"",_xlfn.MAXIFS($B$1:B951,$A$1:A951,A952)+1,"")</f>
        <v/>
      </c>
      <c r="C952" s="50"/>
      <c r="D952" s="50"/>
      <c r="E952" s="50"/>
      <c r="F952" s="50"/>
      <c r="G952" s="280"/>
      <c r="H952" s="293"/>
      <c r="I952" s="292"/>
      <c r="J952" s="292"/>
      <c r="K952" s="200"/>
      <c r="L952" s="200"/>
      <c r="M952" s="89" t="str">
        <f>IFERROR(VLOOKUP(H952,Lijsten!$H$1:$I$100,2,0),"")</f>
        <v/>
      </c>
      <c r="N952" s="89" t="str" cm="1">
        <f t="array" ref="N952">IFERROR(_xlfn.IFS(AND(LEFT(F952,6)="Arbeid",RIGHT(F952,3)&lt;&gt;"IKS"),IFERROR(VLOOKUP($G952,Tb_KostenTypen[],2,0),"tarief"),RIGHT(F952,3)="IKS","Uurtarief",LEFT(F952,6)="Arbeid","Uurtarief",AND(LEFT(F952,8)="Bijdrage",RIGHT(F952,15)="(vrijwilligers)"),"Vast tarief"),"")</f>
        <v/>
      </c>
      <c r="O952" s="90"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0"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1"/>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59"/>
      <c r="Z952" s="49"/>
      <c r="AA952" s="37" t="str" cm="1">
        <f t="array" ref="AA952">IFERROR(IF(INDEX(SubsidieTabel!$Q$1:$T$9,MATCH($F952,SubsidieTabel!$Q$1:$Q$9,0),IFERROR(MATCH(Methode_Keuze,SubsidieTabel!$Q$1:$T$1,0),2))&lt;&gt;1=TRUE,"ja",""),"")</f>
        <v/>
      </c>
    </row>
    <row r="953" spans="1:27" ht="15" customHeight="1" x14ac:dyDescent="0.25">
      <c r="A953" s="85"/>
      <c r="B953" s="217" t="str">
        <f>IF(A953&lt;&gt;"",_xlfn.MAXIFS($B$1:B952,$A$1:A952,A953)+1,"")</f>
        <v/>
      </c>
      <c r="C953" s="50"/>
      <c r="D953" s="50"/>
      <c r="E953" s="50"/>
      <c r="F953" s="50"/>
      <c r="G953" s="280"/>
      <c r="H953" s="293"/>
      <c r="I953" s="292"/>
      <c r="J953" s="292"/>
      <c r="K953" s="200"/>
      <c r="L953" s="200"/>
      <c r="M953" s="89" t="str">
        <f>IFERROR(VLOOKUP(H953,Lijsten!$H$1:$I$100,2,0),"")</f>
        <v/>
      </c>
      <c r="N953" s="89" t="str" cm="1">
        <f t="array" ref="N953">IFERROR(_xlfn.IFS(AND(LEFT(F953,6)="Arbeid",RIGHT(F953,3)&lt;&gt;"IKS"),IFERROR(VLOOKUP($G953,Tb_KostenTypen[],2,0),"tarief"),RIGHT(F953,3)="IKS","Uurtarief",LEFT(F953,6)="Arbeid","Uurtarief",AND(LEFT(F953,8)="Bijdrage",RIGHT(F953,15)="(vrijwilligers)"),"Vast tarief"),"")</f>
        <v/>
      </c>
      <c r="O953" s="90"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0"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1"/>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59"/>
      <c r="Z953" s="49"/>
      <c r="AA953" s="37" t="str" cm="1">
        <f t="array" ref="AA953">IFERROR(IF(INDEX(SubsidieTabel!$Q$1:$T$9,MATCH($F953,SubsidieTabel!$Q$1:$Q$9,0),IFERROR(MATCH(Methode_Keuze,SubsidieTabel!$Q$1:$T$1,0),2))&lt;&gt;1=TRUE,"ja",""),"")</f>
        <v/>
      </c>
    </row>
    <row r="954" spans="1:27" ht="15" customHeight="1" x14ac:dyDescent="0.25">
      <c r="A954" s="85"/>
      <c r="B954" s="217" t="str">
        <f>IF(A954&lt;&gt;"",_xlfn.MAXIFS($B$1:B953,$A$1:A953,A954)+1,"")</f>
        <v/>
      </c>
      <c r="C954" s="50"/>
      <c r="D954" s="50"/>
      <c r="E954" s="50"/>
      <c r="F954" s="50"/>
      <c r="G954" s="280"/>
      <c r="H954" s="293"/>
      <c r="I954" s="292"/>
      <c r="J954" s="292"/>
      <c r="K954" s="200"/>
      <c r="L954" s="200"/>
      <c r="M954" s="89" t="str">
        <f>IFERROR(VLOOKUP(H954,Lijsten!$H$1:$I$100,2,0),"")</f>
        <v/>
      </c>
      <c r="N954" s="89" t="str" cm="1">
        <f t="array" ref="N954">IFERROR(_xlfn.IFS(AND(LEFT(F954,6)="Arbeid",RIGHT(F954,3)&lt;&gt;"IKS"),IFERROR(VLOOKUP($G954,Tb_KostenTypen[],2,0),"tarief"),RIGHT(F954,3)="IKS","Uurtarief",LEFT(F954,6)="Arbeid","Uurtarief",AND(LEFT(F954,8)="Bijdrage",RIGHT(F954,15)="(vrijwilligers)"),"Vast tarief"),"")</f>
        <v/>
      </c>
      <c r="O954" s="90"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0"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1"/>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59"/>
      <c r="Z954" s="49"/>
      <c r="AA954" s="37" t="str" cm="1">
        <f t="array" ref="AA954">IFERROR(IF(INDEX(SubsidieTabel!$Q$1:$T$9,MATCH($F954,SubsidieTabel!$Q$1:$Q$9,0),IFERROR(MATCH(Methode_Keuze,SubsidieTabel!$Q$1:$T$1,0),2))&lt;&gt;1=TRUE,"ja",""),"")</f>
        <v/>
      </c>
    </row>
    <row r="955" spans="1:27" ht="15" customHeight="1" x14ac:dyDescent="0.25">
      <c r="A955" s="85"/>
      <c r="B955" s="217" t="str">
        <f>IF(A955&lt;&gt;"",_xlfn.MAXIFS($B$1:B954,$A$1:A954,A955)+1,"")</f>
        <v/>
      </c>
      <c r="C955" s="50"/>
      <c r="D955" s="50"/>
      <c r="E955" s="50"/>
      <c r="F955" s="50"/>
      <c r="G955" s="280"/>
      <c r="H955" s="293"/>
      <c r="I955" s="292"/>
      <c r="J955" s="292"/>
      <c r="K955" s="200"/>
      <c r="L955" s="200"/>
      <c r="M955" s="89" t="str">
        <f>IFERROR(VLOOKUP(H955,Lijsten!$H$1:$I$100,2,0),"")</f>
        <v/>
      </c>
      <c r="N955" s="89" t="str" cm="1">
        <f t="array" ref="N955">IFERROR(_xlfn.IFS(AND(LEFT(F955,6)="Arbeid",RIGHT(F955,3)&lt;&gt;"IKS"),IFERROR(VLOOKUP($G955,Tb_KostenTypen[],2,0),"tarief"),RIGHT(F955,3)="IKS","Uurtarief",LEFT(F955,6)="Arbeid","Uurtarief",AND(LEFT(F955,8)="Bijdrage",RIGHT(F955,15)="(vrijwilligers)"),"Vast tarief"),"")</f>
        <v/>
      </c>
      <c r="O955" s="90"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0"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1"/>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59"/>
      <c r="Z955" s="49"/>
      <c r="AA955" s="37" t="str" cm="1">
        <f t="array" ref="AA955">IFERROR(IF(INDEX(SubsidieTabel!$Q$1:$T$9,MATCH($F955,SubsidieTabel!$Q$1:$Q$9,0),IFERROR(MATCH(Methode_Keuze,SubsidieTabel!$Q$1:$T$1,0),2))&lt;&gt;1=TRUE,"ja",""),"")</f>
        <v/>
      </c>
    </row>
    <row r="956" spans="1:27" ht="15" customHeight="1" x14ac:dyDescent="0.25">
      <c r="A956" s="85"/>
      <c r="B956" s="217" t="str">
        <f>IF(A956&lt;&gt;"",_xlfn.MAXIFS($B$1:B955,$A$1:A955,A956)+1,"")</f>
        <v/>
      </c>
      <c r="C956" s="50"/>
      <c r="D956" s="50"/>
      <c r="E956" s="50"/>
      <c r="F956" s="50"/>
      <c r="G956" s="280"/>
      <c r="H956" s="293"/>
      <c r="I956" s="292"/>
      <c r="J956" s="292"/>
      <c r="K956" s="200"/>
      <c r="L956" s="200"/>
      <c r="M956" s="89" t="str">
        <f>IFERROR(VLOOKUP(H956,Lijsten!$H$1:$I$100,2,0),"")</f>
        <v/>
      </c>
      <c r="N956" s="89" t="str" cm="1">
        <f t="array" ref="N956">IFERROR(_xlfn.IFS(AND(LEFT(F956,6)="Arbeid",RIGHT(F956,3)&lt;&gt;"IKS"),IFERROR(VLOOKUP($G956,Tb_KostenTypen[],2,0),"tarief"),RIGHT(F956,3)="IKS","Uurtarief",LEFT(F956,6)="Arbeid","Uurtarief",AND(LEFT(F956,8)="Bijdrage",RIGHT(F956,15)="(vrijwilligers)"),"Vast tarief"),"")</f>
        <v/>
      </c>
      <c r="O956" s="90"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0"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1"/>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59"/>
      <c r="Z956" s="49"/>
      <c r="AA956" s="37" t="str" cm="1">
        <f t="array" ref="AA956">IFERROR(IF(INDEX(SubsidieTabel!$Q$1:$T$9,MATCH($F956,SubsidieTabel!$Q$1:$Q$9,0),IFERROR(MATCH(Methode_Keuze,SubsidieTabel!$Q$1:$T$1,0),2))&lt;&gt;1=TRUE,"ja",""),"")</f>
        <v/>
      </c>
    </row>
    <row r="957" spans="1:27" ht="15" customHeight="1" x14ac:dyDescent="0.25">
      <c r="A957" s="85"/>
      <c r="B957" s="217" t="str">
        <f>IF(A957&lt;&gt;"",_xlfn.MAXIFS($B$1:B956,$A$1:A956,A957)+1,"")</f>
        <v/>
      </c>
      <c r="C957" s="50"/>
      <c r="D957" s="50"/>
      <c r="E957" s="50"/>
      <c r="F957" s="50"/>
      <c r="G957" s="280"/>
      <c r="H957" s="293"/>
      <c r="I957" s="292"/>
      <c r="J957" s="292"/>
      <c r="K957" s="200"/>
      <c r="L957" s="200"/>
      <c r="M957" s="89" t="str">
        <f>IFERROR(VLOOKUP(H957,Lijsten!$H$1:$I$100,2,0),"")</f>
        <v/>
      </c>
      <c r="N957" s="89" t="str" cm="1">
        <f t="array" ref="N957">IFERROR(_xlfn.IFS(AND(LEFT(F957,6)="Arbeid",RIGHT(F957,3)&lt;&gt;"IKS"),IFERROR(VLOOKUP($G957,Tb_KostenTypen[],2,0),"tarief"),RIGHT(F957,3)="IKS","Uurtarief",LEFT(F957,6)="Arbeid","Uurtarief",AND(LEFT(F957,8)="Bijdrage",RIGHT(F957,15)="(vrijwilligers)"),"Vast tarief"),"")</f>
        <v/>
      </c>
      <c r="O957" s="90"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0"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1"/>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59"/>
      <c r="Z957" s="49"/>
      <c r="AA957" s="37" t="str" cm="1">
        <f t="array" ref="AA957">IFERROR(IF(INDEX(SubsidieTabel!$Q$1:$T$9,MATCH($F957,SubsidieTabel!$Q$1:$Q$9,0),IFERROR(MATCH(Methode_Keuze,SubsidieTabel!$Q$1:$T$1,0),2))&lt;&gt;1=TRUE,"ja",""),"")</f>
        <v/>
      </c>
    </row>
    <row r="958" spans="1:27" ht="15" customHeight="1" x14ac:dyDescent="0.25">
      <c r="A958" s="85"/>
      <c r="B958" s="217" t="str">
        <f>IF(A958&lt;&gt;"",_xlfn.MAXIFS($B$1:B957,$A$1:A957,A958)+1,"")</f>
        <v/>
      </c>
      <c r="C958" s="50"/>
      <c r="D958" s="50"/>
      <c r="E958" s="50"/>
      <c r="F958" s="50"/>
      <c r="G958" s="280"/>
      <c r="H958" s="293"/>
      <c r="I958" s="292"/>
      <c r="J958" s="292"/>
      <c r="K958" s="200"/>
      <c r="L958" s="200"/>
      <c r="M958" s="89" t="str">
        <f>IFERROR(VLOOKUP(H958,Lijsten!$H$1:$I$100,2,0),"")</f>
        <v/>
      </c>
      <c r="N958" s="89" t="str" cm="1">
        <f t="array" ref="N958">IFERROR(_xlfn.IFS(AND(LEFT(F958,6)="Arbeid",RIGHT(F958,3)&lt;&gt;"IKS"),IFERROR(VLOOKUP($G958,Tb_KostenTypen[],2,0),"tarief"),RIGHT(F958,3)="IKS","Uurtarief",LEFT(F958,6)="Arbeid","Uurtarief",AND(LEFT(F958,8)="Bijdrage",RIGHT(F958,15)="(vrijwilligers)"),"Vast tarief"),"")</f>
        <v/>
      </c>
      <c r="O958" s="90"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0"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1"/>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59"/>
      <c r="Z958" s="49"/>
      <c r="AA958" s="37" t="str" cm="1">
        <f t="array" ref="AA958">IFERROR(IF(INDEX(SubsidieTabel!$Q$1:$T$9,MATCH($F958,SubsidieTabel!$Q$1:$Q$9,0),IFERROR(MATCH(Methode_Keuze,SubsidieTabel!$Q$1:$T$1,0),2))&lt;&gt;1=TRUE,"ja",""),"")</f>
        <v/>
      </c>
    </row>
    <row r="959" spans="1:27" ht="15" customHeight="1" x14ac:dyDescent="0.25">
      <c r="A959" s="85"/>
      <c r="B959" s="217" t="str">
        <f>IF(A959&lt;&gt;"",_xlfn.MAXIFS($B$1:B958,$A$1:A958,A959)+1,"")</f>
        <v/>
      </c>
      <c r="C959" s="50"/>
      <c r="D959" s="50"/>
      <c r="E959" s="50"/>
      <c r="F959" s="50"/>
      <c r="G959" s="280"/>
      <c r="H959" s="293"/>
      <c r="I959" s="292"/>
      <c r="J959" s="292"/>
      <c r="K959" s="200"/>
      <c r="L959" s="200"/>
      <c r="M959" s="89" t="str">
        <f>IFERROR(VLOOKUP(H959,Lijsten!$H$1:$I$100,2,0),"")</f>
        <v/>
      </c>
      <c r="N959" s="89" t="str" cm="1">
        <f t="array" ref="N959">IFERROR(_xlfn.IFS(AND(LEFT(F959,6)="Arbeid",RIGHT(F959,3)&lt;&gt;"IKS"),IFERROR(VLOOKUP($G959,Tb_KostenTypen[],2,0),"tarief"),RIGHT(F959,3)="IKS","Uurtarief",LEFT(F959,6)="Arbeid","Uurtarief",AND(LEFT(F959,8)="Bijdrage",RIGHT(F959,15)="(vrijwilligers)"),"Vast tarief"),"")</f>
        <v/>
      </c>
      <c r="O959" s="90"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0"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1"/>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59"/>
      <c r="Z959" s="49"/>
      <c r="AA959" s="37" t="str" cm="1">
        <f t="array" ref="AA959">IFERROR(IF(INDEX(SubsidieTabel!$Q$1:$T$9,MATCH($F959,SubsidieTabel!$Q$1:$Q$9,0),IFERROR(MATCH(Methode_Keuze,SubsidieTabel!$Q$1:$T$1,0),2))&lt;&gt;1=TRUE,"ja",""),"")</f>
        <v/>
      </c>
    </row>
    <row r="960" spans="1:27" ht="15" customHeight="1" x14ac:dyDescent="0.25">
      <c r="A960" s="85"/>
      <c r="B960" s="217" t="str">
        <f>IF(A960&lt;&gt;"",_xlfn.MAXIFS($B$1:B959,$A$1:A959,A960)+1,"")</f>
        <v/>
      </c>
      <c r="C960" s="50"/>
      <c r="D960" s="50"/>
      <c r="E960" s="50"/>
      <c r="F960" s="50"/>
      <c r="G960" s="280"/>
      <c r="H960" s="293"/>
      <c r="I960" s="292"/>
      <c r="J960" s="292"/>
      <c r="K960" s="200"/>
      <c r="L960" s="200"/>
      <c r="M960" s="89" t="str">
        <f>IFERROR(VLOOKUP(H960,Lijsten!$H$1:$I$100,2,0),"")</f>
        <v/>
      </c>
      <c r="N960" s="89" t="str" cm="1">
        <f t="array" ref="N960">IFERROR(_xlfn.IFS(AND(LEFT(F960,6)="Arbeid",RIGHT(F960,3)&lt;&gt;"IKS"),IFERROR(VLOOKUP($G960,Tb_KostenTypen[],2,0),"tarief"),RIGHT(F960,3)="IKS","Uurtarief",LEFT(F960,6)="Arbeid","Uurtarief",AND(LEFT(F960,8)="Bijdrage",RIGHT(F960,15)="(vrijwilligers)"),"Vast tarief"),"")</f>
        <v/>
      </c>
      <c r="O960" s="90"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0"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1"/>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59"/>
      <c r="Z960" s="49"/>
      <c r="AA960" s="37" t="str" cm="1">
        <f t="array" ref="AA960">IFERROR(IF(INDEX(SubsidieTabel!$Q$1:$T$9,MATCH($F960,SubsidieTabel!$Q$1:$Q$9,0),IFERROR(MATCH(Methode_Keuze,SubsidieTabel!$Q$1:$T$1,0),2))&lt;&gt;1=TRUE,"ja",""),"")</f>
        <v/>
      </c>
    </row>
    <row r="961" spans="1:27" ht="15" customHeight="1" x14ac:dyDescent="0.25">
      <c r="A961" s="85"/>
      <c r="B961" s="217" t="str">
        <f>IF(A961&lt;&gt;"",_xlfn.MAXIFS($B$1:B960,$A$1:A960,A961)+1,"")</f>
        <v/>
      </c>
      <c r="C961" s="50"/>
      <c r="D961" s="50"/>
      <c r="E961" s="50"/>
      <c r="F961" s="50"/>
      <c r="G961" s="280"/>
      <c r="H961" s="293"/>
      <c r="I961" s="292"/>
      <c r="J961" s="292"/>
      <c r="K961" s="200"/>
      <c r="L961" s="200"/>
      <c r="M961" s="89" t="str">
        <f>IFERROR(VLOOKUP(H961,Lijsten!$H$1:$I$100,2,0),"")</f>
        <v/>
      </c>
      <c r="N961" s="89" t="str" cm="1">
        <f t="array" ref="N961">IFERROR(_xlfn.IFS(AND(LEFT(F961,6)="Arbeid",RIGHT(F961,3)&lt;&gt;"IKS"),IFERROR(VLOOKUP($G961,Tb_KostenTypen[],2,0),"tarief"),RIGHT(F961,3)="IKS","Uurtarief",LEFT(F961,6)="Arbeid","Uurtarief",AND(LEFT(F961,8)="Bijdrage",RIGHT(F961,15)="(vrijwilligers)"),"Vast tarief"),"")</f>
        <v/>
      </c>
      <c r="O961" s="90"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0"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1"/>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59"/>
      <c r="Z961" s="49"/>
      <c r="AA961" s="37" t="str" cm="1">
        <f t="array" ref="AA961">IFERROR(IF(INDEX(SubsidieTabel!$Q$1:$T$9,MATCH($F961,SubsidieTabel!$Q$1:$Q$9,0),IFERROR(MATCH(Methode_Keuze,SubsidieTabel!$Q$1:$T$1,0),2))&lt;&gt;1=TRUE,"ja",""),"")</f>
        <v/>
      </c>
    </row>
    <row r="962" spans="1:27" ht="15" customHeight="1" x14ac:dyDescent="0.25">
      <c r="A962" s="85"/>
      <c r="B962" s="217" t="str">
        <f>IF(A962&lt;&gt;"",_xlfn.MAXIFS($B$1:B961,$A$1:A961,A962)+1,"")</f>
        <v/>
      </c>
      <c r="C962" s="50"/>
      <c r="D962" s="50"/>
      <c r="E962" s="50"/>
      <c r="F962" s="50"/>
      <c r="G962" s="280"/>
      <c r="H962" s="293"/>
      <c r="I962" s="292"/>
      <c r="J962" s="292"/>
      <c r="K962" s="200"/>
      <c r="L962" s="200"/>
      <c r="M962" s="89" t="str">
        <f>IFERROR(VLOOKUP(H962,Lijsten!$H$1:$I$100,2,0),"")</f>
        <v/>
      </c>
      <c r="N962" s="89" t="str" cm="1">
        <f t="array" ref="N962">IFERROR(_xlfn.IFS(AND(LEFT(F962,6)="Arbeid",RIGHT(F962,3)&lt;&gt;"IKS"),IFERROR(VLOOKUP($G962,Tb_KostenTypen[],2,0),"tarief"),RIGHT(F962,3)="IKS","Uurtarief",LEFT(F962,6)="Arbeid","Uurtarief",AND(LEFT(F962,8)="Bijdrage",RIGHT(F962,15)="(vrijwilligers)"),"Vast tarief"),"")</f>
        <v/>
      </c>
      <c r="O962" s="90"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0"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1"/>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59"/>
      <c r="Z962" s="49"/>
      <c r="AA962" s="37" t="str" cm="1">
        <f t="array" ref="AA962">IFERROR(IF(INDEX(SubsidieTabel!$Q$1:$T$9,MATCH($F962,SubsidieTabel!$Q$1:$Q$9,0),IFERROR(MATCH(Methode_Keuze,SubsidieTabel!$Q$1:$T$1,0),2))&lt;&gt;1=TRUE,"ja",""),"")</f>
        <v/>
      </c>
    </row>
    <row r="963" spans="1:27" ht="15" customHeight="1" x14ac:dyDescent="0.25">
      <c r="A963" s="85"/>
      <c r="B963" s="217" t="str">
        <f>IF(A963&lt;&gt;"",_xlfn.MAXIFS($B$1:B962,$A$1:A962,A963)+1,"")</f>
        <v/>
      </c>
      <c r="C963" s="50"/>
      <c r="D963" s="50"/>
      <c r="E963" s="50"/>
      <c r="F963" s="50"/>
      <c r="G963" s="280"/>
      <c r="H963" s="293"/>
      <c r="I963" s="292"/>
      <c r="J963" s="292"/>
      <c r="K963" s="200"/>
      <c r="L963" s="200"/>
      <c r="M963" s="89" t="str">
        <f>IFERROR(VLOOKUP(H963,Lijsten!$H$1:$I$100,2,0),"")</f>
        <v/>
      </c>
      <c r="N963" s="89" t="str" cm="1">
        <f t="array" ref="N963">IFERROR(_xlfn.IFS(AND(LEFT(F963,6)="Arbeid",RIGHT(F963,3)&lt;&gt;"IKS"),IFERROR(VLOOKUP($G963,Tb_KostenTypen[],2,0),"tarief"),RIGHT(F963,3)="IKS","Uurtarief",LEFT(F963,6)="Arbeid","Uurtarief",AND(LEFT(F963,8)="Bijdrage",RIGHT(F963,15)="(vrijwilligers)"),"Vast tarief"),"")</f>
        <v/>
      </c>
      <c r="O963" s="90"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0"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1"/>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59"/>
      <c r="Z963" s="49"/>
      <c r="AA963" s="37" t="str" cm="1">
        <f t="array" ref="AA963">IFERROR(IF(INDEX(SubsidieTabel!$Q$1:$T$9,MATCH($F963,SubsidieTabel!$Q$1:$Q$9,0),IFERROR(MATCH(Methode_Keuze,SubsidieTabel!$Q$1:$T$1,0),2))&lt;&gt;1=TRUE,"ja",""),"")</f>
        <v/>
      </c>
    </row>
    <row r="964" spans="1:27" ht="15" customHeight="1" x14ac:dyDescent="0.25">
      <c r="A964" s="85"/>
      <c r="B964" s="217" t="str">
        <f>IF(A964&lt;&gt;"",_xlfn.MAXIFS($B$1:B963,$A$1:A963,A964)+1,"")</f>
        <v/>
      </c>
      <c r="C964" s="50"/>
      <c r="D964" s="50"/>
      <c r="E964" s="50"/>
      <c r="F964" s="50"/>
      <c r="G964" s="280"/>
      <c r="H964" s="293"/>
      <c r="I964" s="292"/>
      <c r="J964" s="292"/>
      <c r="K964" s="200"/>
      <c r="L964" s="200"/>
      <c r="M964" s="89" t="str">
        <f>IFERROR(VLOOKUP(H964,Lijsten!$H$1:$I$100,2,0),"")</f>
        <v/>
      </c>
      <c r="N964" s="89" t="str" cm="1">
        <f t="array" ref="N964">IFERROR(_xlfn.IFS(AND(LEFT(F964,6)="Arbeid",RIGHT(F964,3)&lt;&gt;"IKS"),IFERROR(VLOOKUP($G964,Tb_KostenTypen[],2,0),"tarief"),RIGHT(F964,3)="IKS","Uurtarief",LEFT(F964,6)="Arbeid","Uurtarief",AND(LEFT(F964,8)="Bijdrage",RIGHT(F964,15)="(vrijwilligers)"),"Vast tarief"),"")</f>
        <v/>
      </c>
      <c r="O964" s="90"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0"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1"/>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59"/>
      <c r="Z964" s="49"/>
      <c r="AA964" s="37" t="str" cm="1">
        <f t="array" ref="AA964">IFERROR(IF(INDEX(SubsidieTabel!$Q$1:$T$9,MATCH($F964,SubsidieTabel!$Q$1:$Q$9,0),IFERROR(MATCH(Methode_Keuze,SubsidieTabel!$Q$1:$T$1,0),2))&lt;&gt;1=TRUE,"ja",""),"")</f>
        <v/>
      </c>
    </row>
    <row r="965" spans="1:27" ht="15" customHeight="1" x14ac:dyDescent="0.25">
      <c r="A965" s="85"/>
      <c r="B965" s="217" t="str">
        <f>IF(A965&lt;&gt;"",_xlfn.MAXIFS($B$1:B964,$A$1:A964,A965)+1,"")</f>
        <v/>
      </c>
      <c r="C965" s="50"/>
      <c r="D965" s="50"/>
      <c r="E965" s="50"/>
      <c r="F965" s="50"/>
      <c r="G965" s="280"/>
      <c r="H965" s="293"/>
      <c r="I965" s="292"/>
      <c r="J965" s="292"/>
      <c r="K965" s="200"/>
      <c r="L965" s="200"/>
      <c r="M965" s="89" t="str">
        <f>IFERROR(VLOOKUP(H965,Lijsten!$H$1:$I$100,2,0),"")</f>
        <v/>
      </c>
      <c r="N965" s="89" t="str" cm="1">
        <f t="array" ref="N965">IFERROR(_xlfn.IFS(AND(LEFT(F965,6)="Arbeid",RIGHT(F965,3)&lt;&gt;"IKS"),IFERROR(VLOOKUP($G965,Tb_KostenTypen[],2,0),"tarief"),RIGHT(F965,3)="IKS","Uurtarief",LEFT(F965,6)="Arbeid","Uurtarief",AND(LEFT(F965,8)="Bijdrage",RIGHT(F965,15)="(vrijwilligers)"),"Vast tarief"),"")</f>
        <v/>
      </c>
      <c r="O965" s="90"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0"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1"/>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59"/>
      <c r="Z965" s="49"/>
      <c r="AA965" s="37" t="str" cm="1">
        <f t="array" ref="AA965">IFERROR(IF(INDEX(SubsidieTabel!$Q$1:$T$9,MATCH($F965,SubsidieTabel!$Q$1:$Q$9,0),IFERROR(MATCH(Methode_Keuze,SubsidieTabel!$Q$1:$T$1,0),2))&lt;&gt;1=TRUE,"ja",""),"")</f>
        <v/>
      </c>
    </row>
    <row r="966" spans="1:27" ht="15" customHeight="1" x14ac:dyDescent="0.25">
      <c r="A966" s="85"/>
      <c r="B966" s="217" t="str">
        <f>IF(A966&lt;&gt;"",_xlfn.MAXIFS($B$1:B965,$A$1:A965,A966)+1,"")</f>
        <v/>
      </c>
      <c r="C966" s="50"/>
      <c r="D966" s="50"/>
      <c r="E966" s="50"/>
      <c r="F966" s="50"/>
      <c r="G966" s="280"/>
      <c r="H966" s="293"/>
      <c r="I966" s="292"/>
      <c r="J966" s="292"/>
      <c r="K966" s="200"/>
      <c r="L966" s="200"/>
      <c r="M966" s="89" t="str">
        <f>IFERROR(VLOOKUP(H966,Lijsten!$H$1:$I$100,2,0),"")</f>
        <v/>
      </c>
      <c r="N966" s="89" t="str" cm="1">
        <f t="array" ref="N966">IFERROR(_xlfn.IFS(AND(LEFT(F966,6)="Arbeid",RIGHT(F966,3)&lt;&gt;"IKS"),IFERROR(VLOOKUP($G966,Tb_KostenTypen[],2,0),"tarief"),RIGHT(F966,3)="IKS","Uurtarief",LEFT(F966,6)="Arbeid","Uurtarief",AND(LEFT(F966,8)="Bijdrage",RIGHT(F966,15)="(vrijwilligers)"),"Vast tarief"),"")</f>
        <v/>
      </c>
      <c r="O966" s="90"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0"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1"/>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59"/>
      <c r="Z966" s="49"/>
      <c r="AA966" s="37" t="str" cm="1">
        <f t="array" ref="AA966">IFERROR(IF(INDEX(SubsidieTabel!$Q$1:$T$9,MATCH($F966,SubsidieTabel!$Q$1:$Q$9,0),IFERROR(MATCH(Methode_Keuze,SubsidieTabel!$Q$1:$T$1,0),2))&lt;&gt;1=TRUE,"ja",""),"")</f>
        <v/>
      </c>
    </row>
    <row r="967" spans="1:27" ht="15" customHeight="1" x14ac:dyDescent="0.25">
      <c r="A967" s="85"/>
      <c r="B967" s="217" t="str">
        <f>IF(A967&lt;&gt;"",_xlfn.MAXIFS($B$1:B966,$A$1:A966,A967)+1,"")</f>
        <v/>
      </c>
      <c r="C967" s="50"/>
      <c r="D967" s="50"/>
      <c r="E967" s="50"/>
      <c r="F967" s="50"/>
      <c r="G967" s="280"/>
      <c r="H967" s="293"/>
      <c r="I967" s="292"/>
      <c r="J967" s="292"/>
      <c r="K967" s="200"/>
      <c r="L967" s="200"/>
      <c r="M967" s="89" t="str">
        <f>IFERROR(VLOOKUP(H967,Lijsten!$H$1:$I$100,2,0),"")</f>
        <v/>
      </c>
      <c r="N967" s="89" t="str" cm="1">
        <f t="array" ref="N967">IFERROR(_xlfn.IFS(AND(LEFT(F967,6)="Arbeid",RIGHT(F967,3)&lt;&gt;"IKS"),IFERROR(VLOOKUP($G967,Tb_KostenTypen[],2,0),"tarief"),RIGHT(F967,3)="IKS","Uurtarief",LEFT(F967,6)="Arbeid","Uurtarief",AND(LEFT(F967,8)="Bijdrage",RIGHT(F967,15)="(vrijwilligers)"),"Vast tarief"),"")</f>
        <v/>
      </c>
      <c r="O967" s="90"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0"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1"/>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59"/>
      <c r="Z967" s="49"/>
      <c r="AA967" s="37" t="str" cm="1">
        <f t="array" ref="AA967">IFERROR(IF(INDEX(SubsidieTabel!$Q$1:$T$9,MATCH($F967,SubsidieTabel!$Q$1:$Q$9,0),IFERROR(MATCH(Methode_Keuze,SubsidieTabel!$Q$1:$T$1,0),2))&lt;&gt;1=TRUE,"ja",""),"")</f>
        <v/>
      </c>
    </row>
    <row r="968" spans="1:27" ht="15" customHeight="1" x14ac:dyDescent="0.25">
      <c r="A968" s="85"/>
      <c r="B968" s="217" t="str">
        <f>IF(A968&lt;&gt;"",_xlfn.MAXIFS($B$1:B967,$A$1:A967,A968)+1,"")</f>
        <v/>
      </c>
      <c r="C968" s="50"/>
      <c r="D968" s="50"/>
      <c r="E968" s="50"/>
      <c r="F968" s="50"/>
      <c r="G968" s="280"/>
      <c r="H968" s="293"/>
      <c r="I968" s="292"/>
      <c r="J968" s="292"/>
      <c r="K968" s="200"/>
      <c r="L968" s="200"/>
      <c r="M968" s="89" t="str">
        <f>IFERROR(VLOOKUP(H968,Lijsten!$H$1:$I$100,2,0),"")</f>
        <v/>
      </c>
      <c r="N968" s="89" t="str" cm="1">
        <f t="array" ref="N968">IFERROR(_xlfn.IFS(AND(LEFT(F968,6)="Arbeid",RIGHT(F968,3)&lt;&gt;"IKS"),IFERROR(VLOOKUP($G968,Tb_KostenTypen[],2,0),"tarief"),RIGHT(F968,3)="IKS","Uurtarief",LEFT(F968,6)="Arbeid","Uurtarief",AND(LEFT(F968,8)="Bijdrage",RIGHT(F968,15)="(vrijwilligers)"),"Vast tarief"),"")</f>
        <v/>
      </c>
      <c r="O968" s="90"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0"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1"/>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59"/>
      <c r="Z968" s="49"/>
      <c r="AA968" s="37" t="str" cm="1">
        <f t="array" ref="AA968">IFERROR(IF(INDEX(SubsidieTabel!$Q$1:$T$9,MATCH($F968,SubsidieTabel!$Q$1:$Q$9,0),IFERROR(MATCH(Methode_Keuze,SubsidieTabel!$Q$1:$T$1,0),2))&lt;&gt;1=TRUE,"ja",""),"")</f>
        <v/>
      </c>
    </row>
    <row r="969" spans="1:27" ht="15" customHeight="1" x14ac:dyDescent="0.25">
      <c r="A969" s="85"/>
      <c r="B969" s="217" t="str">
        <f>IF(A969&lt;&gt;"",_xlfn.MAXIFS($B$1:B968,$A$1:A968,A969)+1,"")</f>
        <v/>
      </c>
      <c r="C969" s="50"/>
      <c r="D969" s="50"/>
      <c r="E969" s="50"/>
      <c r="F969" s="50"/>
      <c r="G969" s="280"/>
      <c r="H969" s="293"/>
      <c r="I969" s="292"/>
      <c r="J969" s="292"/>
      <c r="K969" s="200"/>
      <c r="L969" s="200"/>
      <c r="M969" s="89" t="str">
        <f>IFERROR(VLOOKUP(H969,Lijsten!$H$1:$I$100,2,0),"")</f>
        <v/>
      </c>
      <c r="N969" s="89" t="str" cm="1">
        <f t="array" ref="N969">IFERROR(_xlfn.IFS(AND(LEFT(F969,6)="Arbeid",RIGHT(F969,3)&lt;&gt;"IKS"),IFERROR(VLOOKUP($G969,Tb_KostenTypen[],2,0),"tarief"),RIGHT(F969,3)="IKS","Uurtarief",LEFT(F969,6)="Arbeid","Uurtarief",AND(LEFT(F969,8)="Bijdrage",RIGHT(F969,15)="(vrijwilligers)"),"Vast tarief"),"")</f>
        <v/>
      </c>
      <c r="O969" s="90"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0"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1"/>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59"/>
      <c r="Z969" s="49"/>
      <c r="AA969" s="37" t="str" cm="1">
        <f t="array" ref="AA969">IFERROR(IF(INDEX(SubsidieTabel!$Q$1:$T$9,MATCH($F969,SubsidieTabel!$Q$1:$Q$9,0),IFERROR(MATCH(Methode_Keuze,SubsidieTabel!$Q$1:$T$1,0),2))&lt;&gt;1=TRUE,"ja",""),"")</f>
        <v/>
      </c>
    </row>
    <row r="970" spans="1:27" ht="15" customHeight="1" x14ac:dyDescent="0.25">
      <c r="A970" s="85"/>
      <c r="B970" s="217" t="str">
        <f>IF(A970&lt;&gt;"",_xlfn.MAXIFS($B$1:B969,$A$1:A969,A970)+1,"")</f>
        <v/>
      </c>
      <c r="C970" s="50"/>
      <c r="D970" s="50"/>
      <c r="E970" s="50"/>
      <c r="F970" s="50"/>
      <c r="G970" s="280"/>
      <c r="H970" s="293"/>
      <c r="I970" s="292"/>
      <c r="J970" s="292"/>
      <c r="K970" s="200"/>
      <c r="L970" s="200"/>
      <c r="M970" s="89" t="str">
        <f>IFERROR(VLOOKUP(H970,Lijsten!$H$1:$I$100,2,0),"")</f>
        <v/>
      </c>
      <c r="N970" s="89" t="str" cm="1">
        <f t="array" ref="N970">IFERROR(_xlfn.IFS(AND(LEFT(F970,6)="Arbeid",RIGHT(F970,3)&lt;&gt;"IKS"),IFERROR(VLOOKUP($G970,Tb_KostenTypen[],2,0),"tarief"),RIGHT(F970,3)="IKS","Uurtarief",LEFT(F970,6)="Arbeid","Uurtarief",AND(LEFT(F970,8)="Bijdrage",RIGHT(F970,15)="(vrijwilligers)"),"Vast tarief"),"")</f>
        <v/>
      </c>
      <c r="O970" s="90"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0"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1"/>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59"/>
      <c r="Z970" s="49"/>
      <c r="AA970" s="37" t="str" cm="1">
        <f t="array" ref="AA970">IFERROR(IF(INDEX(SubsidieTabel!$Q$1:$T$9,MATCH($F970,SubsidieTabel!$Q$1:$Q$9,0),IFERROR(MATCH(Methode_Keuze,SubsidieTabel!$Q$1:$T$1,0),2))&lt;&gt;1=TRUE,"ja",""),"")</f>
        <v/>
      </c>
    </row>
    <row r="971" spans="1:27" ht="15" customHeight="1" x14ac:dyDescent="0.25">
      <c r="A971" s="85"/>
      <c r="B971" s="217" t="str">
        <f>IF(A971&lt;&gt;"",_xlfn.MAXIFS($B$1:B970,$A$1:A970,A971)+1,"")</f>
        <v/>
      </c>
      <c r="C971" s="50"/>
      <c r="D971" s="50"/>
      <c r="E971" s="50"/>
      <c r="F971" s="50"/>
      <c r="G971" s="280"/>
      <c r="H971" s="293"/>
      <c r="I971" s="292"/>
      <c r="J971" s="292"/>
      <c r="K971" s="200"/>
      <c r="L971" s="200"/>
      <c r="M971" s="89" t="str">
        <f>IFERROR(VLOOKUP(H971,Lijsten!$H$1:$I$100,2,0),"")</f>
        <v/>
      </c>
      <c r="N971" s="89" t="str" cm="1">
        <f t="array" ref="N971">IFERROR(_xlfn.IFS(AND(LEFT(F971,6)="Arbeid",RIGHT(F971,3)&lt;&gt;"IKS"),IFERROR(VLOOKUP($G971,Tb_KostenTypen[],2,0),"tarief"),RIGHT(F971,3)="IKS","Uurtarief",LEFT(F971,6)="Arbeid","Uurtarief",AND(LEFT(F971,8)="Bijdrage",RIGHT(F971,15)="(vrijwilligers)"),"Vast tarief"),"")</f>
        <v/>
      </c>
      <c r="O971" s="90"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0"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1"/>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59"/>
      <c r="Z971" s="49"/>
      <c r="AA971" s="37" t="str" cm="1">
        <f t="array" ref="AA971">IFERROR(IF(INDEX(SubsidieTabel!$Q$1:$T$9,MATCH($F971,SubsidieTabel!$Q$1:$Q$9,0),IFERROR(MATCH(Methode_Keuze,SubsidieTabel!$Q$1:$T$1,0),2))&lt;&gt;1=TRUE,"ja",""),"")</f>
        <v/>
      </c>
    </row>
    <row r="972" spans="1:27" ht="15" customHeight="1" x14ac:dyDescent="0.25">
      <c r="A972" s="85"/>
      <c r="B972" s="217" t="str">
        <f>IF(A972&lt;&gt;"",_xlfn.MAXIFS($B$1:B971,$A$1:A971,A972)+1,"")</f>
        <v/>
      </c>
      <c r="C972" s="50"/>
      <c r="D972" s="50"/>
      <c r="E972" s="50"/>
      <c r="F972" s="50"/>
      <c r="G972" s="280"/>
      <c r="H972" s="293"/>
      <c r="I972" s="292"/>
      <c r="J972" s="292"/>
      <c r="K972" s="200"/>
      <c r="L972" s="200"/>
      <c r="M972" s="89" t="str">
        <f>IFERROR(VLOOKUP(H972,Lijsten!$H$1:$I$100,2,0),"")</f>
        <v/>
      </c>
      <c r="N972" s="89" t="str" cm="1">
        <f t="array" ref="N972">IFERROR(_xlfn.IFS(AND(LEFT(F972,6)="Arbeid",RIGHT(F972,3)&lt;&gt;"IKS"),IFERROR(VLOOKUP($G972,Tb_KostenTypen[],2,0),"tarief"),RIGHT(F972,3)="IKS","Uurtarief",LEFT(F972,6)="Arbeid","Uurtarief",AND(LEFT(F972,8)="Bijdrage",RIGHT(F972,15)="(vrijwilligers)"),"Vast tarief"),"")</f>
        <v/>
      </c>
      <c r="O972" s="90"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0"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1"/>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59"/>
      <c r="Z972" s="49"/>
      <c r="AA972" s="37" t="str" cm="1">
        <f t="array" ref="AA972">IFERROR(IF(INDEX(SubsidieTabel!$Q$1:$T$9,MATCH($F972,SubsidieTabel!$Q$1:$Q$9,0),IFERROR(MATCH(Methode_Keuze,SubsidieTabel!$Q$1:$T$1,0),2))&lt;&gt;1=TRUE,"ja",""),"")</f>
        <v/>
      </c>
    </row>
    <row r="973" spans="1:27" ht="15" customHeight="1" x14ac:dyDescent="0.25">
      <c r="A973" s="85"/>
      <c r="B973" s="217" t="str">
        <f>IF(A973&lt;&gt;"",_xlfn.MAXIFS($B$1:B972,$A$1:A972,A973)+1,"")</f>
        <v/>
      </c>
      <c r="C973" s="50"/>
      <c r="D973" s="50"/>
      <c r="E973" s="50"/>
      <c r="F973" s="50"/>
      <c r="G973" s="280"/>
      <c r="H973" s="293"/>
      <c r="I973" s="292"/>
      <c r="J973" s="292"/>
      <c r="K973" s="200"/>
      <c r="L973" s="200"/>
      <c r="M973" s="89" t="str">
        <f>IFERROR(VLOOKUP(H973,Lijsten!$H$1:$I$100,2,0),"")</f>
        <v/>
      </c>
      <c r="N973" s="89" t="str" cm="1">
        <f t="array" ref="N973">IFERROR(_xlfn.IFS(AND(LEFT(F973,6)="Arbeid",RIGHT(F973,3)&lt;&gt;"IKS"),IFERROR(VLOOKUP($G973,Tb_KostenTypen[],2,0),"tarief"),RIGHT(F973,3)="IKS","Uurtarief",LEFT(F973,6)="Arbeid","Uurtarief",AND(LEFT(F973,8)="Bijdrage",RIGHT(F973,15)="(vrijwilligers)"),"Vast tarief"),"")</f>
        <v/>
      </c>
      <c r="O973" s="90"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0"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1"/>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59"/>
      <c r="Z973" s="49"/>
      <c r="AA973" s="37" t="str" cm="1">
        <f t="array" ref="AA973">IFERROR(IF(INDEX(SubsidieTabel!$Q$1:$T$9,MATCH($F973,SubsidieTabel!$Q$1:$Q$9,0),IFERROR(MATCH(Methode_Keuze,SubsidieTabel!$Q$1:$T$1,0),2))&lt;&gt;1=TRUE,"ja",""),"")</f>
        <v/>
      </c>
    </row>
    <row r="974" spans="1:27" ht="15" customHeight="1" x14ac:dyDescent="0.25">
      <c r="A974" s="85"/>
      <c r="B974" s="217" t="str">
        <f>IF(A974&lt;&gt;"",_xlfn.MAXIFS($B$1:B973,$A$1:A973,A974)+1,"")</f>
        <v/>
      </c>
      <c r="C974" s="50"/>
      <c r="D974" s="50"/>
      <c r="E974" s="50"/>
      <c r="F974" s="50"/>
      <c r="G974" s="280"/>
      <c r="H974" s="293"/>
      <c r="I974" s="292"/>
      <c r="J974" s="292"/>
      <c r="K974" s="200"/>
      <c r="L974" s="200"/>
      <c r="M974" s="89" t="str">
        <f>IFERROR(VLOOKUP(H974,Lijsten!$H$1:$I$100,2,0),"")</f>
        <v/>
      </c>
      <c r="N974" s="89" t="str" cm="1">
        <f t="array" ref="N974">IFERROR(_xlfn.IFS(AND(LEFT(F974,6)="Arbeid",RIGHT(F974,3)&lt;&gt;"IKS"),IFERROR(VLOOKUP($G974,Tb_KostenTypen[],2,0),"tarief"),RIGHT(F974,3)="IKS","Uurtarief",LEFT(F974,6)="Arbeid","Uurtarief",AND(LEFT(F974,8)="Bijdrage",RIGHT(F974,15)="(vrijwilligers)"),"Vast tarief"),"")</f>
        <v/>
      </c>
      <c r="O974" s="90"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0"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1"/>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59"/>
      <c r="Z974" s="49"/>
      <c r="AA974" s="37" t="str" cm="1">
        <f t="array" ref="AA974">IFERROR(IF(INDEX(SubsidieTabel!$Q$1:$T$9,MATCH($F974,SubsidieTabel!$Q$1:$Q$9,0),IFERROR(MATCH(Methode_Keuze,SubsidieTabel!$Q$1:$T$1,0),2))&lt;&gt;1=TRUE,"ja",""),"")</f>
        <v/>
      </c>
    </row>
    <row r="975" spans="1:27" ht="15" customHeight="1" x14ac:dyDescent="0.25">
      <c r="A975" s="85"/>
      <c r="B975" s="217" t="str">
        <f>IF(A975&lt;&gt;"",_xlfn.MAXIFS($B$1:B974,$A$1:A974,A975)+1,"")</f>
        <v/>
      </c>
      <c r="C975" s="50"/>
      <c r="D975" s="50"/>
      <c r="E975" s="50"/>
      <c r="F975" s="50"/>
      <c r="G975" s="280"/>
      <c r="H975" s="293"/>
      <c r="I975" s="292"/>
      <c r="J975" s="292"/>
      <c r="K975" s="200"/>
      <c r="L975" s="200"/>
      <c r="M975" s="89" t="str">
        <f>IFERROR(VLOOKUP(H975,Lijsten!$H$1:$I$100,2,0),"")</f>
        <v/>
      </c>
      <c r="N975" s="89" t="str" cm="1">
        <f t="array" ref="N975">IFERROR(_xlfn.IFS(AND(LEFT(F975,6)="Arbeid",RIGHT(F975,3)&lt;&gt;"IKS"),IFERROR(VLOOKUP($G975,Tb_KostenTypen[],2,0),"tarief"),RIGHT(F975,3)="IKS","Uurtarief",LEFT(F975,6)="Arbeid","Uurtarief",AND(LEFT(F975,8)="Bijdrage",RIGHT(F975,15)="(vrijwilligers)"),"Vast tarief"),"")</f>
        <v/>
      </c>
      <c r="O975" s="90"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0"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1"/>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59"/>
      <c r="Z975" s="49"/>
      <c r="AA975" s="37" t="str" cm="1">
        <f t="array" ref="AA975">IFERROR(IF(INDEX(SubsidieTabel!$Q$1:$T$9,MATCH($F975,SubsidieTabel!$Q$1:$Q$9,0),IFERROR(MATCH(Methode_Keuze,SubsidieTabel!$Q$1:$T$1,0),2))&lt;&gt;1=TRUE,"ja",""),"")</f>
        <v/>
      </c>
    </row>
    <row r="976" spans="1:27" ht="15" customHeight="1" x14ac:dyDescent="0.25">
      <c r="A976" s="85"/>
      <c r="B976" s="217" t="str">
        <f>IF(A976&lt;&gt;"",_xlfn.MAXIFS($B$1:B975,$A$1:A975,A976)+1,"")</f>
        <v/>
      </c>
      <c r="C976" s="50"/>
      <c r="D976" s="50"/>
      <c r="E976" s="50"/>
      <c r="F976" s="50"/>
      <c r="G976" s="280"/>
      <c r="H976" s="293"/>
      <c r="I976" s="292"/>
      <c r="J976" s="292"/>
      <c r="K976" s="200"/>
      <c r="L976" s="200"/>
      <c r="M976" s="89" t="str">
        <f>IFERROR(VLOOKUP(H976,Lijsten!$H$1:$I$100,2,0),"")</f>
        <v/>
      </c>
      <c r="N976" s="89" t="str" cm="1">
        <f t="array" ref="N976">IFERROR(_xlfn.IFS(AND(LEFT(F976,6)="Arbeid",RIGHT(F976,3)&lt;&gt;"IKS"),IFERROR(VLOOKUP($G976,Tb_KostenTypen[],2,0),"tarief"),RIGHT(F976,3)="IKS","Uurtarief",LEFT(F976,6)="Arbeid","Uurtarief",AND(LEFT(F976,8)="Bijdrage",RIGHT(F976,15)="(vrijwilligers)"),"Vast tarief"),"")</f>
        <v/>
      </c>
      <c r="O976" s="90"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0"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1"/>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59"/>
      <c r="Z976" s="49"/>
      <c r="AA976" s="37" t="str" cm="1">
        <f t="array" ref="AA976">IFERROR(IF(INDEX(SubsidieTabel!$Q$1:$T$9,MATCH($F976,SubsidieTabel!$Q$1:$Q$9,0),IFERROR(MATCH(Methode_Keuze,SubsidieTabel!$Q$1:$T$1,0),2))&lt;&gt;1=TRUE,"ja",""),"")</f>
        <v/>
      </c>
    </row>
    <row r="977" spans="1:27" ht="15" customHeight="1" x14ac:dyDescent="0.25">
      <c r="A977" s="85"/>
      <c r="B977" s="217" t="str">
        <f>IF(A977&lt;&gt;"",_xlfn.MAXIFS($B$1:B976,$A$1:A976,A977)+1,"")</f>
        <v/>
      </c>
      <c r="C977" s="50"/>
      <c r="D977" s="50"/>
      <c r="E977" s="50"/>
      <c r="F977" s="50"/>
      <c r="G977" s="280"/>
      <c r="H977" s="293"/>
      <c r="I977" s="292"/>
      <c r="J977" s="292"/>
      <c r="K977" s="200"/>
      <c r="L977" s="200"/>
      <c r="M977" s="89" t="str">
        <f>IFERROR(VLOOKUP(H977,Lijsten!$H$1:$I$100,2,0),"")</f>
        <v/>
      </c>
      <c r="N977" s="89" t="str" cm="1">
        <f t="array" ref="N977">IFERROR(_xlfn.IFS(AND(LEFT(F977,6)="Arbeid",RIGHT(F977,3)&lt;&gt;"IKS"),IFERROR(VLOOKUP($G977,Tb_KostenTypen[],2,0),"tarief"),RIGHT(F977,3)="IKS","Uurtarief",LEFT(F977,6)="Arbeid","Uurtarief",AND(LEFT(F977,8)="Bijdrage",RIGHT(F977,15)="(vrijwilligers)"),"Vast tarief"),"")</f>
        <v/>
      </c>
      <c r="O977" s="90"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0"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1"/>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59"/>
      <c r="Z977" s="49"/>
      <c r="AA977" s="37" t="str" cm="1">
        <f t="array" ref="AA977">IFERROR(IF(INDEX(SubsidieTabel!$Q$1:$T$9,MATCH($F977,SubsidieTabel!$Q$1:$Q$9,0),IFERROR(MATCH(Methode_Keuze,SubsidieTabel!$Q$1:$T$1,0),2))&lt;&gt;1=TRUE,"ja",""),"")</f>
        <v/>
      </c>
    </row>
    <row r="978" spans="1:27" ht="15" customHeight="1" x14ac:dyDescent="0.25">
      <c r="A978" s="85"/>
      <c r="B978" s="217" t="str">
        <f>IF(A978&lt;&gt;"",_xlfn.MAXIFS($B$1:B977,$A$1:A977,A978)+1,"")</f>
        <v/>
      </c>
      <c r="C978" s="50"/>
      <c r="D978" s="50"/>
      <c r="E978" s="50"/>
      <c r="F978" s="50"/>
      <c r="G978" s="280"/>
      <c r="H978" s="293"/>
      <c r="I978" s="292"/>
      <c r="J978" s="292"/>
      <c r="K978" s="200"/>
      <c r="L978" s="200"/>
      <c r="M978" s="89" t="str">
        <f>IFERROR(VLOOKUP(H978,Lijsten!$H$1:$I$100,2,0),"")</f>
        <v/>
      </c>
      <c r="N978" s="89" t="str" cm="1">
        <f t="array" ref="N978">IFERROR(_xlfn.IFS(AND(LEFT(F978,6)="Arbeid",RIGHT(F978,3)&lt;&gt;"IKS"),IFERROR(VLOOKUP($G978,Tb_KostenTypen[],2,0),"tarief"),RIGHT(F978,3)="IKS","Uurtarief",LEFT(F978,6)="Arbeid","Uurtarief",AND(LEFT(F978,8)="Bijdrage",RIGHT(F978,15)="(vrijwilligers)"),"Vast tarief"),"")</f>
        <v/>
      </c>
      <c r="O978" s="90"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0"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1"/>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59"/>
      <c r="Z978" s="49"/>
      <c r="AA978" s="37" t="str" cm="1">
        <f t="array" ref="AA978">IFERROR(IF(INDEX(SubsidieTabel!$Q$1:$T$9,MATCH($F978,SubsidieTabel!$Q$1:$Q$9,0),IFERROR(MATCH(Methode_Keuze,SubsidieTabel!$Q$1:$T$1,0),2))&lt;&gt;1=TRUE,"ja",""),"")</f>
        <v/>
      </c>
    </row>
    <row r="979" spans="1:27" ht="15" customHeight="1" x14ac:dyDescent="0.25">
      <c r="A979" s="85"/>
      <c r="B979" s="217" t="str">
        <f>IF(A979&lt;&gt;"",_xlfn.MAXIFS($B$1:B978,$A$1:A978,A979)+1,"")</f>
        <v/>
      </c>
      <c r="C979" s="50"/>
      <c r="D979" s="50"/>
      <c r="E979" s="50"/>
      <c r="F979" s="50"/>
      <c r="G979" s="280"/>
      <c r="H979" s="293"/>
      <c r="I979" s="292"/>
      <c r="J979" s="292"/>
      <c r="K979" s="200"/>
      <c r="L979" s="200"/>
      <c r="M979" s="89" t="str">
        <f>IFERROR(VLOOKUP(H979,Lijsten!$H$1:$I$100,2,0),"")</f>
        <v/>
      </c>
      <c r="N979" s="89" t="str" cm="1">
        <f t="array" ref="N979">IFERROR(_xlfn.IFS(AND(LEFT(F979,6)="Arbeid",RIGHT(F979,3)&lt;&gt;"IKS"),IFERROR(VLOOKUP($G979,Tb_KostenTypen[],2,0),"tarief"),RIGHT(F979,3)="IKS","Uurtarief",LEFT(F979,6)="Arbeid","Uurtarief",AND(LEFT(F979,8)="Bijdrage",RIGHT(F979,15)="(vrijwilligers)"),"Vast tarief"),"")</f>
        <v/>
      </c>
      <c r="O979" s="90"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0"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1"/>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59"/>
      <c r="Z979" s="49"/>
      <c r="AA979" s="37" t="str" cm="1">
        <f t="array" ref="AA979">IFERROR(IF(INDEX(SubsidieTabel!$Q$1:$T$9,MATCH($F979,SubsidieTabel!$Q$1:$Q$9,0),IFERROR(MATCH(Methode_Keuze,SubsidieTabel!$Q$1:$T$1,0),2))&lt;&gt;1=TRUE,"ja",""),"")</f>
        <v/>
      </c>
    </row>
    <row r="980" spans="1:27" ht="15" customHeight="1" x14ac:dyDescent="0.25">
      <c r="A980" s="85"/>
      <c r="B980" s="217" t="str">
        <f>IF(A980&lt;&gt;"",_xlfn.MAXIFS($B$1:B979,$A$1:A979,A980)+1,"")</f>
        <v/>
      </c>
      <c r="C980" s="50"/>
      <c r="D980" s="50"/>
      <c r="E980" s="50"/>
      <c r="F980" s="50"/>
      <c r="G980" s="280"/>
      <c r="H980" s="293"/>
      <c r="I980" s="292"/>
      <c r="J980" s="292"/>
      <c r="K980" s="200"/>
      <c r="L980" s="200"/>
      <c r="M980" s="89" t="str">
        <f>IFERROR(VLOOKUP(H980,Lijsten!$H$1:$I$100,2,0),"")</f>
        <v/>
      </c>
      <c r="N980" s="89" t="str" cm="1">
        <f t="array" ref="N980">IFERROR(_xlfn.IFS(AND(LEFT(F980,6)="Arbeid",RIGHT(F980,3)&lt;&gt;"IKS"),IFERROR(VLOOKUP($G980,Tb_KostenTypen[],2,0),"tarief"),RIGHT(F980,3)="IKS","Uurtarief",LEFT(F980,6)="Arbeid","Uurtarief",AND(LEFT(F980,8)="Bijdrage",RIGHT(F980,15)="(vrijwilligers)"),"Vast tarief"),"")</f>
        <v/>
      </c>
      <c r="O980" s="90"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0"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1"/>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59"/>
      <c r="Z980" s="49"/>
      <c r="AA980" s="37" t="str" cm="1">
        <f t="array" ref="AA980">IFERROR(IF(INDEX(SubsidieTabel!$Q$1:$T$9,MATCH($F980,SubsidieTabel!$Q$1:$Q$9,0),IFERROR(MATCH(Methode_Keuze,SubsidieTabel!$Q$1:$T$1,0),2))&lt;&gt;1=TRUE,"ja",""),"")</f>
        <v/>
      </c>
    </row>
    <row r="981" spans="1:27" ht="15" customHeight="1" x14ac:dyDescent="0.25">
      <c r="A981" s="85"/>
      <c r="B981" s="217" t="str">
        <f>IF(A981&lt;&gt;"",_xlfn.MAXIFS($B$1:B980,$A$1:A980,A981)+1,"")</f>
        <v/>
      </c>
      <c r="C981" s="50"/>
      <c r="D981" s="50"/>
      <c r="E981" s="50"/>
      <c r="F981" s="50"/>
      <c r="G981" s="280"/>
      <c r="H981" s="293"/>
      <c r="I981" s="292"/>
      <c r="J981" s="292"/>
      <c r="K981" s="200"/>
      <c r="L981" s="200"/>
      <c r="M981" s="89" t="str">
        <f>IFERROR(VLOOKUP(H981,Lijsten!$H$1:$I$100,2,0),"")</f>
        <v/>
      </c>
      <c r="N981" s="89" t="str" cm="1">
        <f t="array" ref="N981">IFERROR(_xlfn.IFS(AND(LEFT(F981,6)="Arbeid",RIGHT(F981,3)&lt;&gt;"IKS"),IFERROR(VLOOKUP($G981,Tb_KostenTypen[],2,0),"tarief"),RIGHT(F981,3)="IKS","Uurtarief",LEFT(F981,6)="Arbeid","Uurtarief",AND(LEFT(F981,8)="Bijdrage",RIGHT(F981,15)="(vrijwilligers)"),"Vast tarief"),"")</f>
        <v/>
      </c>
      <c r="O981" s="90"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0"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1"/>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59"/>
      <c r="Z981" s="49"/>
      <c r="AA981" s="37" t="str" cm="1">
        <f t="array" ref="AA981">IFERROR(IF(INDEX(SubsidieTabel!$Q$1:$T$9,MATCH($F981,SubsidieTabel!$Q$1:$Q$9,0),IFERROR(MATCH(Methode_Keuze,SubsidieTabel!$Q$1:$T$1,0),2))&lt;&gt;1=TRUE,"ja",""),"")</f>
        <v/>
      </c>
    </row>
    <row r="982" spans="1:27" ht="15" customHeight="1" x14ac:dyDescent="0.25">
      <c r="A982" s="85"/>
      <c r="B982" s="217" t="str">
        <f>IF(A982&lt;&gt;"",_xlfn.MAXIFS($B$1:B981,$A$1:A981,A982)+1,"")</f>
        <v/>
      </c>
      <c r="C982" s="50"/>
      <c r="D982" s="50"/>
      <c r="E982" s="50"/>
      <c r="F982" s="50"/>
      <c r="G982" s="280"/>
      <c r="H982" s="293"/>
      <c r="I982" s="292"/>
      <c r="J982" s="292"/>
      <c r="K982" s="200"/>
      <c r="L982" s="200"/>
      <c r="M982" s="89" t="str">
        <f>IFERROR(VLOOKUP(H982,Lijsten!$H$1:$I$100,2,0),"")</f>
        <v/>
      </c>
      <c r="N982" s="89" t="str" cm="1">
        <f t="array" ref="N982">IFERROR(_xlfn.IFS(AND(LEFT(F982,6)="Arbeid",RIGHT(F982,3)&lt;&gt;"IKS"),IFERROR(VLOOKUP($G982,Tb_KostenTypen[],2,0),"tarief"),RIGHT(F982,3)="IKS","Uurtarief",LEFT(F982,6)="Arbeid","Uurtarief",AND(LEFT(F982,8)="Bijdrage",RIGHT(F982,15)="(vrijwilligers)"),"Vast tarief"),"")</f>
        <v/>
      </c>
      <c r="O982" s="90"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0"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1"/>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59"/>
      <c r="Z982" s="49"/>
      <c r="AA982" s="37" t="str" cm="1">
        <f t="array" ref="AA982">IFERROR(IF(INDEX(SubsidieTabel!$Q$1:$T$9,MATCH($F982,SubsidieTabel!$Q$1:$Q$9,0),IFERROR(MATCH(Methode_Keuze,SubsidieTabel!$Q$1:$T$1,0),2))&lt;&gt;1=TRUE,"ja",""),"")</f>
        <v/>
      </c>
    </row>
    <row r="983" spans="1:27" ht="15" customHeight="1" x14ac:dyDescent="0.25">
      <c r="A983" s="85"/>
      <c r="B983" s="217" t="str">
        <f>IF(A983&lt;&gt;"",_xlfn.MAXIFS($B$1:B982,$A$1:A982,A983)+1,"")</f>
        <v/>
      </c>
      <c r="C983" s="50"/>
      <c r="D983" s="50"/>
      <c r="E983" s="50"/>
      <c r="F983" s="50"/>
      <c r="G983" s="280"/>
      <c r="H983" s="293"/>
      <c r="I983" s="292"/>
      <c r="J983" s="292"/>
      <c r="K983" s="200"/>
      <c r="L983" s="200"/>
      <c r="M983" s="89" t="str">
        <f>IFERROR(VLOOKUP(H983,Lijsten!$H$1:$I$100,2,0),"")</f>
        <v/>
      </c>
      <c r="N983" s="89" t="str" cm="1">
        <f t="array" ref="N983">IFERROR(_xlfn.IFS(AND(LEFT(F983,6)="Arbeid",RIGHT(F983,3)&lt;&gt;"IKS"),IFERROR(VLOOKUP($G983,Tb_KostenTypen[],2,0),"tarief"),RIGHT(F983,3)="IKS","Uurtarief",LEFT(F983,6)="Arbeid","Uurtarief",AND(LEFT(F983,8)="Bijdrage",RIGHT(F983,15)="(vrijwilligers)"),"Vast tarief"),"")</f>
        <v/>
      </c>
      <c r="O983" s="90"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0"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1"/>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59"/>
      <c r="Z983" s="49"/>
      <c r="AA983" s="37" t="str" cm="1">
        <f t="array" ref="AA983">IFERROR(IF(INDEX(SubsidieTabel!$Q$1:$T$9,MATCH($F983,SubsidieTabel!$Q$1:$Q$9,0),IFERROR(MATCH(Methode_Keuze,SubsidieTabel!$Q$1:$T$1,0),2))&lt;&gt;1=TRUE,"ja",""),"")</f>
        <v/>
      </c>
    </row>
    <row r="984" spans="1:27" ht="15" customHeight="1" x14ac:dyDescent="0.25">
      <c r="A984" s="85"/>
      <c r="B984" s="217" t="str">
        <f>IF(A984&lt;&gt;"",_xlfn.MAXIFS($B$1:B983,$A$1:A983,A984)+1,"")</f>
        <v/>
      </c>
      <c r="C984" s="50"/>
      <c r="D984" s="50"/>
      <c r="E984" s="50"/>
      <c r="F984" s="50"/>
      <c r="G984" s="280"/>
      <c r="H984" s="293"/>
      <c r="I984" s="292"/>
      <c r="J984" s="292"/>
      <c r="K984" s="200"/>
      <c r="L984" s="200"/>
      <c r="M984" s="89" t="str">
        <f>IFERROR(VLOOKUP(H984,Lijsten!$H$1:$I$100,2,0),"")</f>
        <v/>
      </c>
      <c r="N984" s="89" t="str" cm="1">
        <f t="array" ref="N984">IFERROR(_xlfn.IFS(AND(LEFT(F984,6)="Arbeid",RIGHT(F984,3)&lt;&gt;"IKS"),IFERROR(VLOOKUP($G984,Tb_KostenTypen[],2,0),"tarief"),RIGHT(F984,3)="IKS","Uurtarief",LEFT(F984,6)="Arbeid","Uurtarief",AND(LEFT(F984,8)="Bijdrage",RIGHT(F984,15)="(vrijwilligers)"),"Vast tarief"),"")</f>
        <v/>
      </c>
      <c r="O984" s="90"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0"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1"/>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59"/>
      <c r="Z984" s="49"/>
      <c r="AA984" s="37" t="str" cm="1">
        <f t="array" ref="AA984">IFERROR(IF(INDEX(SubsidieTabel!$Q$1:$T$9,MATCH($F984,SubsidieTabel!$Q$1:$Q$9,0),IFERROR(MATCH(Methode_Keuze,SubsidieTabel!$Q$1:$T$1,0),2))&lt;&gt;1=TRUE,"ja",""),"")</f>
        <v/>
      </c>
    </row>
    <row r="985" spans="1:27" ht="15" customHeight="1" x14ac:dyDescent="0.25">
      <c r="A985" s="85"/>
      <c r="B985" s="217" t="str">
        <f>IF(A985&lt;&gt;"",_xlfn.MAXIFS($B$1:B984,$A$1:A984,A985)+1,"")</f>
        <v/>
      </c>
      <c r="C985" s="50"/>
      <c r="D985" s="50"/>
      <c r="E985" s="50"/>
      <c r="F985" s="50"/>
      <c r="G985" s="280"/>
      <c r="H985" s="293"/>
      <c r="I985" s="292"/>
      <c r="J985" s="292"/>
      <c r="K985" s="200"/>
      <c r="L985" s="200"/>
      <c r="M985" s="89" t="str">
        <f>IFERROR(VLOOKUP(H985,Lijsten!$H$1:$I$100,2,0),"")</f>
        <v/>
      </c>
      <c r="N985" s="89" t="str" cm="1">
        <f t="array" ref="N985">IFERROR(_xlfn.IFS(AND(LEFT(F985,6)="Arbeid",RIGHT(F985,3)&lt;&gt;"IKS"),IFERROR(VLOOKUP($G985,Tb_KostenTypen[],2,0),"tarief"),RIGHT(F985,3)="IKS","Uurtarief",LEFT(F985,6)="Arbeid","Uurtarief",AND(LEFT(F985,8)="Bijdrage",RIGHT(F985,15)="(vrijwilligers)"),"Vast tarief"),"")</f>
        <v/>
      </c>
      <c r="O985" s="90"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0"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1"/>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59"/>
      <c r="Z985" s="49"/>
      <c r="AA985" s="37" t="str" cm="1">
        <f t="array" ref="AA985">IFERROR(IF(INDEX(SubsidieTabel!$Q$1:$T$9,MATCH($F985,SubsidieTabel!$Q$1:$Q$9,0),IFERROR(MATCH(Methode_Keuze,SubsidieTabel!$Q$1:$T$1,0),2))&lt;&gt;1=TRUE,"ja",""),"")</f>
        <v/>
      </c>
    </row>
    <row r="986" spans="1:27" ht="15" customHeight="1" x14ac:dyDescent="0.25">
      <c r="A986" s="85"/>
      <c r="B986" s="217" t="str">
        <f>IF(A986&lt;&gt;"",_xlfn.MAXIFS($B$1:B985,$A$1:A985,A986)+1,"")</f>
        <v/>
      </c>
      <c r="C986" s="50"/>
      <c r="D986" s="50"/>
      <c r="E986" s="50"/>
      <c r="F986" s="50"/>
      <c r="G986" s="280"/>
      <c r="H986" s="293"/>
      <c r="I986" s="292"/>
      <c r="J986" s="292"/>
      <c r="K986" s="200"/>
      <c r="L986" s="200"/>
      <c r="M986" s="89" t="str">
        <f>IFERROR(VLOOKUP(H986,Lijsten!$H$1:$I$100,2,0),"")</f>
        <v/>
      </c>
      <c r="N986" s="89" t="str" cm="1">
        <f t="array" ref="N986">IFERROR(_xlfn.IFS(AND(LEFT(F986,6)="Arbeid",RIGHT(F986,3)&lt;&gt;"IKS"),IFERROR(VLOOKUP($G986,Tb_KostenTypen[],2,0),"tarief"),RIGHT(F986,3)="IKS","Uurtarief",LEFT(F986,6)="Arbeid","Uurtarief",AND(LEFT(F986,8)="Bijdrage",RIGHT(F986,15)="(vrijwilligers)"),"Vast tarief"),"")</f>
        <v/>
      </c>
      <c r="O986" s="90"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0"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1"/>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59"/>
      <c r="Z986" s="49"/>
      <c r="AA986" s="37" t="str" cm="1">
        <f t="array" ref="AA986">IFERROR(IF(INDEX(SubsidieTabel!$Q$1:$T$9,MATCH($F986,SubsidieTabel!$Q$1:$Q$9,0),IFERROR(MATCH(Methode_Keuze,SubsidieTabel!$Q$1:$T$1,0),2))&lt;&gt;1=TRUE,"ja",""),"")</f>
        <v/>
      </c>
    </row>
    <row r="987" spans="1:27" ht="15" customHeight="1" x14ac:dyDescent="0.25">
      <c r="A987" s="85"/>
      <c r="B987" s="217" t="str">
        <f>IF(A987&lt;&gt;"",_xlfn.MAXIFS($B$1:B986,$A$1:A986,A987)+1,"")</f>
        <v/>
      </c>
      <c r="C987" s="50"/>
      <c r="D987" s="50"/>
      <c r="E987" s="50"/>
      <c r="F987" s="50"/>
      <c r="G987" s="280"/>
      <c r="H987" s="293"/>
      <c r="I987" s="292"/>
      <c r="J987" s="292"/>
      <c r="K987" s="200"/>
      <c r="L987" s="200"/>
      <c r="M987" s="89" t="str">
        <f>IFERROR(VLOOKUP(H987,Lijsten!$H$1:$I$100,2,0),"")</f>
        <v/>
      </c>
      <c r="N987" s="89" t="str" cm="1">
        <f t="array" ref="N987">IFERROR(_xlfn.IFS(AND(LEFT(F987,6)="Arbeid",RIGHT(F987,3)&lt;&gt;"IKS"),IFERROR(VLOOKUP($G987,Tb_KostenTypen[],2,0),"tarief"),RIGHT(F987,3)="IKS","Uurtarief",LEFT(F987,6)="Arbeid","Uurtarief",AND(LEFT(F987,8)="Bijdrage",RIGHT(F987,15)="(vrijwilligers)"),"Vast tarief"),"")</f>
        <v/>
      </c>
      <c r="O987" s="90"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0"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1"/>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59"/>
      <c r="Z987" s="49"/>
      <c r="AA987" s="37" t="str" cm="1">
        <f t="array" ref="AA987">IFERROR(IF(INDEX(SubsidieTabel!$Q$1:$T$9,MATCH($F987,SubsidieTabel!$Q$1:$Q$9,0),IFERROR(MATCH(Methode_Keuze,SubsidieTabel!$Q$1:$T$1,0),2))&lt;&gt;1=TRUE,"ja",""),"")</f>
        <v/>
      </c>
    </row>
    <row r="988" spans="1:27" ht="15" customHeight="1" x14ac:dyDescent="0.25">
      <c r="A988" s="85"/>
      <c r="B988" s="217" t="str">
        <f>IF(A988&lt;&gt;"",_xlfn.MAXIFS($B$1:B987,$A$1:A987,A988)+1,"")</f>
        <v/>
      </c>
      <c r="C988" s="50"/>
      <c r="D988" s="50"/>
      <c r="E988" s="50"/>
      <c r="F988" s="50"/>
      <c r="G988" s="280"/>
      <c r="H988" s="293"/>
      <c r="I988" s="292"/>
      <c r="J988" s="292"/>
      <c r="K988" s="200"/>
      <c r="L988" s="200"/>
      <c r="M988" s="89" t="str">
        <f>IFERROR(VLOOKUP(H988,Lijsten!$H$1:$I$100,2,0),"")</f>
        <v/>
      </c>
      <c r="N988" s="89" t="str" cm="1">
        <f t="array" ref="N988">IFERROR(_xlfn.IFS(AND(LEFT(F988,6)="Arbeid",RIGHT(F988,3)&lt;&gt;"IKS"),IFERROR(VLOOKUP($G988,Tb_KostenTypen[],2,0),"tarief"),RIGHT(F988,3)="IKS","Uurtarief",LEFT(F988,6)="Arbeid","Uurtarief",AND(LEFT(F988,8)="Bijdrage",RIGHT(F988,15)="(vrijwilligers)"),"Vast tarief"),"")</f>
        <v/>
      </c>
      <c r="O988" s="90"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0"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1"/>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59"/>
      <c r="Z988" s="49"/>
      <c r="AA988" s="37" t="str" cm="1">
        <f t="array" ref="AA988">IFERROR(IF(INDEX(SubsidieTabel!$Q$1:$T$9,MATCH($F988,SubsidieTabel!$Q$1:$Q$9,0),IFERROR(MATCH(Methode_Keuze,SubsidieTabel!$Q$1:$T$1,0),2))&lt;&gt;1=TRUE,"ja",""),"")</f>
        <v/>
      </c>
    </row>
    <row r="989" spans="1:27" ht="15" customHeight="1" x14ac:dyDescent="0.25">
      <c r="A989" s="85"/>
      <c r="B989" s="217" t="str">
        <f>IF(A989&lt;&gt;"",_xlfn.MAXIFS($B$1:B988,$A$1:A988,A989)+1,"")</f>
        <v/>
      </c>
      <c r="C989" s="50"/>
      <c r="D989" s="50"/>
      <c r="E989" s="50"/>
      <c r="F989" s="50"/>
      <c r="G989" s="280"/>
      <c r="H989" s="293"/>
      <c r="I989" s="292"/>
      <c r="J989" s="292"/>
      <c r="K989" s="200"/>
      <c r="L989" s="200"/>
      <c r="M989" s="89" t="str">
        <f>IFERROR(VLOOKUP(H989,Lijsten!$H$1:$I$100,2,0),"")</f>
        <v/>
      </c>
      <c r="N989" s="89" t="str" cm="1">
        <f t="array" ref="N989">IFERROR(_xlfn.IFS(AND(LEFT(F989,6)="Arbeid",RIGHT(F989,3)&lt;&gt;"IKS"),IFERROR(VLOOKUP($G989,Tb_KostenTypen[],2,0),"tarief"),RIGHT(F989,3)="IKS","Uurtarief",LEFT(F989,6)="Arbeid","Uurtarief",AND(LEFT(F989,8)="Bijdrage",RIGHT(F989,15)="(vrijwilligers)"),"Vast tarief"),"")</f>
        <v/>
      </c>
      <c r="O989" s="90"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0"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1"/>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59"/>
      <c r="Z989" s="49"/>
      <c r="AA989" s="37" t="str" cm="1">
        <f t="array" ref="AA989">IFERROR(IF(INDEX(SubsidieTabel!$Q$1:$T$9,MATCH($F989,SubsidieTabel!$Q$1:$Q$9,0),IFERROR(MATCH(Methode_Keuze,SubsidieTabel!$Q$1:$T$1,0),2))&lt;&gt;1=TRUE,"ja",""),"")</f>
        <v/>
      </c>
    </row>
    <row r="990" spans="1:27" ht="15" customHeight="1" x14ac:dyDescent="0.25">
      <c r="A990" s="85"/>
      <c r="B990" s="217" t="str">
        <f>IF(A990&lt;&gt;"",_xlfn.MAXIFS($B$1:B989,$A$1:A989,A990)+1,"")</f>
        <v/>
      </c>
      <c r="C990" s="50"/>
      <c r="D990" s="50"/>
      <c r="E990" s="50"/>
      <c r="F990" s="50"/>
      <c r="G990" s="280"/>
      <c r="H990" s="293"/>
      <c r="I990" s="292"/>
      <c r="J990" s="292"/>
      <c r="K990" s="200"/>
      <c r="L990" s="200"/>
      <c r="M990" s="89" t="str">
        <f>IFERROR(VLOOKUP(H990,Lijsten!$H$1:$I$100,2,0),"")</f>
        <v/>
      </c>
      <c r="N990" s="89" t="str" cm="1">
        <f t="array" ref="N990">IFERROR(_xlfn.IFS(AND(LEFT(F990,6)="Arbeid",RIGHT(F990,3)&lt;&gt;"IKS"),IFERROR(VLOOKUP($G990,Tb_KostenTypen[],2,0),"tarief"),RIGHT(F990,3)="IKS","Uurtarief",LEFT(F990,6)="Arbeid","Uurtarief",AND(LEFT(F990,8)="Bijdrage",RIGHT(F990,15)="(vrijwilligers)"),"Vast tarief"),"")</f>
        <v/>
      </c>
      <c r="O990" s="90"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0"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1"/>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59"/>
      <c r="Z990" s="49"/>
      <c r="AA990" s="37" t="str" cm="1">
        <f t="array" ref="AA990">IFERROR(IF(INDEX(SubsidieTabel!$Q$1:$T$9,MATCH($F990,SubsidieTabel!$Q$1:$Q$9,0),IFERROR(MATCH(Methode_Keuze,SubsidieTabel!$Q$1:$T$1,0),2))&lt;&gt;1=TRUE,"ja",""),"")</f>
        <v/>
      </c>
    </row>
    <row r="991" spans="1:27" ht="15" customHeight="1" x14ac:dyDescent="0.25">
      <c r="A991" s="85"/>
      <c r="B991" s="217" t="str">
        <f>IF(A991&lt;&gt;"",_xlfn.MAXIFS($B$1:B990,$A$1:A990,A991)+1,"")</f>
        <v/>
      </c>
      <c r="C991" s="50"/>
      <c r="D991" s="50"/>
      <c r="E991" s="50"/>
      <c r="F991" s="50"/>
      <c r="G991" s="280"/>
      <c r="H991" s="293"/>
      <c r="I991" s="292"/>
      <c r="J991" s="292"/>
      <c r="K991" s="200"/>
      <c r="L991" s="200"/>
      <c r="M991" s="89" t="str">
        <f>IFERROR(VLOOKUP(H991,Lijsten!$H$1:$I$100,2,0),"")</f>
        <v/>
      </c>
      <c r="N991" s="89" t="str" cm="1">
        <f t="array" ref="N991">IFERROR(_xlfn.IFS(AND(LEFT(F991,6)="Arbeid",RIGHT(F991,3)&lt;&gt;"IKS"),IFERROR(VLOOKUP($G991,Tb_KostenTypen[],2,0),"tarief"),RIGHT(F991,3)="IKS","Uurtarief",LEFT(F991,6)="Arbeid","Uurtarief",AND(LEFT(F991,8)="Bijdrage",RIGHT(F991,15)="(vrijwilligers)"),"Vast tarief"),"")</f>
        <v/>
      </c>
      <c r="O991" s="90"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0"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1"/>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59"/>
      <c r="Z991" s="49"/>
      <c r="AA991" s="37" t="str" cm="1">
        <f t="array" ref="AA991">IFERROR(IF(INDEX(SubsidieTabel!$Q$1:$T$9,MATCH($F991,SubsidieTabel!$Q$1:$Q$9,0),IFERROR(MATCH(Methode_Keuze,SubsidieTabel!$Q$1:$T$1,0),2))&lt;&gt;1=TRUE,"ja",""),"")</f>
        <v/>
      </c>
    </row>
    <row r="992" spans="1:27" ht="15" customHeight="1" x14ac:dyDescent="0.25">
      <c r="A992" s="85"/>
      <c r="B992" s="217" t="str">
        <f>IF(A992&lt;&gt;"",_xlfn.MAXIFS($B$1:B991,$A$1:A991,A992)+1,"")</f>
        <v/>
      </c>
      <c r="C992" s="50"/>
      <c r="D992" s="50"/>
      <c r="E992" s="50"/>
      <c r="F992" s="50"/>
      <c r="G992" s="280"/>
      <c r="H992" s="293"/>
      <c r="I992" s="292"/>
      <c r="J992" s="292"/>
      <c r="K992" s="200"/>
      <c r="L992" s="200"/>
      <c r="M992" s="89" t="str">
        <f>IFERROR(VLOOKUP(H992,Lijsten!$H$1:$I$100,2,0),"")</f>
        <v/>
      </c>
      <c r="N992" s="89" t="str" cm="1">
        <f t="array" ref="N992">IFERROR(_xlfn.IFS(AND(LEFT(F992,6)="Arbeid",RIGHT(F992,3)&lt;&gt;"IKS"),IFERROR(VLOOKUP($G992,Tb_KostenTypen[],2,0),"tarief"),RIGHT(F992,3)="IKS","Uurtarief",LEFT(F992,6)="Arbeid","Uurtarief",AND(LEFT(F992,8)="Bijdrage",RIGHT(F992,15)="(vrijwilligers)"),"Vast tarief"),"")</f>
        <v/>
      </c>
      <c r="O992" s="90"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0"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1"/>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59"/>
      <c r="Z992" s="49"/>
      <c r="AA992" s="37" t="str" cm="1">
        <f t="array" ref="AA992">IFERROR(IF(INDEX(SubsidieTabel!$Q$1:$T$9,MATCH($F992,SubsidieTabel!$Q$1:$Q$9,0),IFERROR(MATCH(Methode_Keuze,SubsidieTabel!$Q$1:$T$1,0),2))&lt;&gt;1=TRUE,"ja",""),"")</f>
        <v/>
      </c>
    </row>
    <row r="993" spans="1:27" ht="15" customHeight="1" x14ac:dyDescent="0.25">
      <c r="A993" s="85"/>
      <c r="B993" s="217" t="str">
        <f>IF(A993&lt;&gt;"",_xlfn.MAXIFS($B$1:B992,$A$1:A992,A993)+1,"")</f>
        <v/>
      </c>
      <c r="C993" s="50"/>
      <c r="D993" s="50"/>
      <c r="E993" s="50"/>
      <c r="F993" s="50"/>
      <c r="G993" s="280"/>
      <c r="H993" s="293"/>
      <c r="I993" s="292"/>
      <c r="J993" s="292"/>
      <c r="K993" s="200"/>
      <c r="L993" s="200"/>
      <c r="M993" s="89" t="str">
        <f>IFERROR(VLOOKUP(H993,Lijsten!$H$1:$I$100,2,0),"")</f>
        <v/>
      </c>
      <c r="N993" s="89" t="str" cm="1">
        <f t="array" ref="N993">IFERROR(_xlfn.IFS(AND(LEFT(F993,6)="Arbeid",RIGHT(F993,3)&lt;&gt;"IKS"),IFERROR(VLOOKUP($G993,Tb_KostenTypen[],2,0),"tarief"),RIGHT(F993,3)="IKS","Uurtarief",LEFT(F993,6)="Arbeid","Uurtarief",AND(LEFT(F993,8)="Bijdrage",RIGHT(F993,15)="(vrijwilligers)"),"Vast tarief"),"")</f>
        <v/>
      </c>
      <c r="O993" s="90"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0"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1"/>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59"/>
      <c r="Z993" s="49"/>
      <c r="AA993" s="37" t="str" cm="1">
        <f t="array" ref="AA993">IFERROR(IF(INDEX(SubsidieTabel!$Q$1:$T$9,MATCH($F993,SubsidieTabel!$Q$1:$Q$9,0),IFERROR(MATCH(Methode_Keuze,SubsidieTabel!$Q$1:$T$1,0),2))&lt;&gt;1=TRUE,"ja",""),"")</f>
        <v/>
      </c>
    </row>
    <row r="994" spans="1:27" ht="15" customHeight="1" x14ac:dyDescent="0.25">
      <c r="A994" s="85"/>
      <c r="B994" s="217" t="str">
        <f>IF(A994&lt;&gt;"",_xlfn.MAXIFS($B$1:B993,$A$1:A993,A994)+1,"")</f>
        <v/>
      </c>
      <c r="C994" s="50"/>
      <c r="D994" s="50"/>
      <c r="E994" s="50"/>
      <c r="F994" s="50"/>
      <c r="G994" s="280"/>
      <c r="H994" s="293"/>
      <c r="I994" s="292"/>
      <c r="J994" s="292"/>
      <c r="K994" s="200"/>
      <c r="L994" s="200"/>
      <c r="M994" s="89" t="str">
        <f>IFERROR(VLOOKUP(H994,Lijsten!$H$1:$I$100,2,0),"")</f>
        <v/>
      </c>
      <c r="N994" s="89" t="str" cm="1">
        <f t="array" ref="N994">IFERROR(_xlfn.IFS(AND(LEFT(F994,6)="Arbeid",RIGHT(F994,3)&lt;&gt;"IKS"),IFERROR(VLOOKUP($G994,Tb_KostenTypen[],2,0),"tarief"),RIGHT(F994,3)="IKS","Uurtarief",LEFT(F994,6)="Arbeid","Uurtarief",AND(LEFT(F994,8)="Bijdrage",RIGHT(F994,15)="(vrijwilligers)"),"Vast tarief"),"")</f>
        <v/>
      </c>
      <c r="O994" s="90"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0"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1"/>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59"/>
      <c r="Z994" s="49"/>
      <c r="AA994" s="37" t="str" cm="1">
        <f t="array" ref="AA994">IFERROR(IF(INDEX(SubsidieTabel!$Q$1:$T$9,MATCH($F994,SubsidieTabel!$Q$1:$Q$9,0),IFERROR(MATCH(Methode_Keuze,SubsidieTabel!$Q$1:$T$1,0),2))&lt;&gt;1=TRUE,"ja",""),"")</f>
        <v/>
      </c>
    </row>
    <row r="995" spans="1:27" ht="15" customHeight="1" x14ac:dyDescent="0.25">
      <c r="A995" s="85"/>
      <c r="B995" s="217" t="str">
        <f>IF(A995&lt;&gt;"",_xlfn.MAXIFS($B$1:B994,$A$1:A994,A995)+1,"")</f>
        <v/>
      </c>
      <c r="C995" s="50"/>
      <c r="D995" s="50"/>
      <c r="E995" s="50"/>
      <c r="F995" s="50"/>
      <c r="G995" s="280"/>
      <c r="H995" s="293"/>
      <c r="I995" s="292"/>
      <c r="J995" s="292"/>
      <c r="K995" s="200"/>
      <c r="L995" s="200"/>
      <c r="M995" s="89" t="str">
        <f>IFERROR(VLOOKUP(H995,Lijsten!$H$1:$I$100,2,0),"")</f>
        <v/>
      </c>
      <c r="N995" s="89" t="str" cm="1">
        <f t="array" ref="N995">IFERROR(_xlfn.IFS(AND(LEFT(F995,6)="Arbeid",RIGHT(F995,3)&lt;&gt;"IKS"),IFERROR(VLOOKUP($G995,Tb_KostenTypen[],2,0),"tarief"),RIGHT(F995,3)="IKS","Uurtarief",LEFT(F995,6)="Arbeid","Uurtarief",AND(LEFT(F995,8)="Bijdrage",RIGHT(F995,15)="(vrijwilligers)"),"Vast tarief"),"")</f>
        <v/>
      </c>
      <c r="O995" s="90"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0"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1"/>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59"/>
      <c r="Z995" s="49"/>
      <c r="AA995" s="37" t="str" cm="1">
        <f t="array" ref="AA995">IFERROR(IF(INDEX(SubsidieTabel!$Q$1:$T$9,MATCH($F995,SubsidieTabel!$Q$1:$Q$9,0),IFERROR(MATCH(Methode_Keuze,SubsidieTabel!$Q$1:$T$1,0),2))&lt;&gt;1=TRUE,"ja",""),"")</f>
        <v/>
      </c>
    </row>
    <row r="996" spans="1:27" ht="15" customHeight="1" x14ac:dyDescent="0.25">
      <c r="A996" s="85"/>
      <c r="B996" s="217" t="str">
        <f>IF(A996&lt;&gt;"",_xlfn.MAXIFS($B$1:B995,$A$1:A995,A996)+1,"")</f>
        <v/>
      </c>
      <c r="C996" s="50"/>
      <c r="D996" s="50"/>
      <c r="E996" s="50"/>
      <c r="F996" s="50"/>
      <c r="G996" s="280"/>
      <c r="H996" s="293"/>
      <c r="I996" s="292"/>
      <c r="J996" s="292"/>
      <c r="K996" s="200"/>
      <c r="L996" s="200"/>
      <c r="M996" s="89" t="str">
        <f>IFERROR(VLOOKUP(H996,Lijsten!$H$1:$I$100,2,0),"")</f>
        <v/>
      </c>
      <c r="N996" s="89" t="str" cm="1">
        <f t="array" ref="N996">IFERROR(_xlfn.IFS(AND(LEFT(F996,6)="Arbeid",RIGHT(F996,3)&lt;&gt;"IKS"),IFERROR(VLOOKUP($G996,Tb_KostenTypen[],2,0),"tarief"),RIGHT(F996,3)="IKS","Uurtarief",LEFT(F996,6)="Arbeid","Uurtarief",AND(LEFT(F996,8)="Bijdrage",RIGHT(F996,15)="(vrijwilligers)"),"Vast tarief"),"")</f>
        <v/>
      </c>
      <c r="O996" s="90"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0"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1"/>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59"/>
      <c r="Z996" s="49"/>
      <c r="AA996" s="37" t="str" cm="1">
        <f t="array" ref="AA996">IFERROR(IF(INDEX(SubsidieTabel!$Q$1:$T$9,MATCH($F996,SubsidieTabel!$Q$1:$Q$9,0),IFERROR(MATCH(Methode_Keuze,SubsidieTabel!$Q$1:$T$1,0),2))&lt;&gt;1=TRUE,"ja",""),"")</f>
        <v/>
      </c>
    </row>
    <row r="997" spans="1:27" ht="15" customHeight="1" x14ac:dyDescent="0.25">
      <c r="A997" s="85"/>
      <c r="B997" s="217" t="str">
        <f>IF(A997&lt;&gt;"",_xlfn.MAXIFS($B$1:B996,$A$1:A996,A997)+1,"")</f>
        <v/>
      </c>
      <c r="C997" s="50"/>
      <c r="D997" s="50"/>
      <c r="E997" s="50"/>
      <c r="F997" s="50"/>
      <c r="G997" s="280"/>
      <c r="H997" s="293"/>
      <c r="I997" s="292"/>
      <c r="J997" s="292"/>
      <c r="K997" s="200"/>
      <c r="L997" s="200"/>
      <c r="M997" s="89" t="str">
        <f>IFERROR(VLOOKUP(H997,Lijsten!$H$1:$I$100,2,0),"")</f>
        <v/>
      </c>
      <c r="N997" s="89" t="str" cm="1">
        <f t="array" ref="N997">IFERROR(_xlfn.IFS(AND(LEFT(F997,6)="Arbeid",RIGHT(F997,3)&lt;&gt;"IKS"),IFERROR(VLOOKUP($G997,Tb_KostenTypen[],2,0),"tarief"),RIGHT(F997,3)="IKS","Uurtarief",LEFT(F997,6)="Arbeid","Uurtarief",AND(LEFT(F997,8)="Bijdrage",RIGHT(F997,15)="(vrijwilligers)"),"Vast tarief"),"")</f>
        <v/>
      </c>
      <c r="O997" s="90"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0"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1"/>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59"/>
      <c r="Z997" s="49"/>
      <c r="AA997" s="37" t="str" cm="1">
        <f t="array" ref="AA997">IFERROR(IF(INDEX(SubsidieTabel!$Q$1:$T$9,MATCH($F997,SubsidieTabel!$Q$1:$Q$9,0),IFERROR(MATCH(Methode_Keuze,SubsidieTabel!$Q$1:$T$1,0),2))&lt;&gt;1=TRUE,"ja",""),"")</f>
        <v/>
      </c>
    </row>
    <row r="998" spans="1:27" ht="15" customHeight="1" x14ac:dyDescent="0.25">
      <c r="A998" s="85"/>
      <c r="B998" s="217" t="str">
        <f>IF(A998&lt;&gt;"",_xlfn.MAXIFS($B$1:B997,$A$1:A997,A998)+1,"")</f>
        <v/>
      </c>
      <c r="C998" s="50"/>
      <c r="D998" s="50"/>
      <c r="E998" s="50"/>
      <c r="F998" s="50"/>
      <c r="G998" s="280"/>
      <c r="H998" s="293"/>
      <c r="I998" s="292"/>
      <c r="J998" s="292"/>
      <c r="K998" s="200"/>
      <c r="L998" s="200"/>
      <c r="M998" s="89" t="str">
        <f>IFERROR(VLOOKUP(H998,Lijsten!$H$1:$I$100,2,0),"")</f>
        <v/>
      </c>
      <c r="N998" s="89" t="str" cm="1">
        <f t="array" ref="N998">IFERROR(_xlfn.IFS(AND(LEFT(F998,6)="Arbeid",RIGHT(F998,3)&lt;&gt;"IKS"),IFERROR(VLOOKUP($G998,Tb_KostenTypen[],2,0),"tarief"),RIGHT(F998,3)="IKS","Uurtarief",LEFT(F998,6)="Arbeid","Uurtarief",AND(LEFT(F998,8)="Bijdrage",RIGHT(F998,15)="(vrijwilligers)"),"Vast tarief"),"")</f>
        <v/>
      </c>
      <c r="O998" s="90"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0"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1"/>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59"/>
      <c r="Z998" s="49"/>
      <c r="AA998" s="37" t="str" cm="1">
        <f t="array" ref="AA998">IFERROR(IF(INDEX(SubsidieTabel!$Q$1:$T$9,MATCH($F998,SubsidieTabel!$Q$1:$Q$9,0),IFERROR(MATCH(Methode_Keuze,SubsidieTabel!$Q$1:$T$1,0),2))&lt;&gt;1=TRUE,"ja",""),"")</f>
        <v/>
      </c>
    </row>
    <row r="999" spans="1:27" ht="15" customHeight="1" x14ac:dyDescent="0.25">
      <c r="A999" s="85"/>
      <c r="B999" s="217" t="str">
        <f>IF(A999&lt;&gt;"",_xlfn.MAXIFS($B$1:B998,$A$1:A998,A999)+1,"")</f>
        <v/>
      </c>
      <c r="C999" s="50"/>
      <c r="D999" s="50"/>
      <c r="E999" s="50"/>
      <c r="F999" s="50"/>
      <c r="G999" s="280"/>
      <c r="H999" s="293"/>
      <c r="I999" s="292"/>
      <c r="J999" s="292"/>
      <c r="K999" s="200"/>
      <c r="L999" s="200"/>
      <c r="M999" s="89" t="str">
        <f>IFERROR(VLOOKUP(H999,Lijsten!$H$1:$I$100,2,0),"")</f>
        <v/>
      </c>
      <c r="N999" s="89" t="str" cm="1">
        <f t="array" ref="N999">IFERROR(_xlfn.IFS(AND(LEFT(F999,6)="Arbeid",RIGHT(F999,3)&lt;&gt;"IKS"),IFERROR(VLOOKUP($G999,Tb_KostenTypen[],2,0),"tarief"),RIGHT(F999,3)="IKS","Uurtarief",LEFT(F999,6)="Arbeid","Uurtarief",AND(LEFT(F999,8)="Bijdrage",RIGHT(F999,15)="(vrijwilligers)"),"Vast tarief"),"")</f>
        <v/>
      </c>
      <c r="O999" s="90"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0"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1"/>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59"/>
      <c r="Z999" s="49"/>
      <c r="AA999" s="37" t="str" cm="1">
        <f t="array" ref="AA999">IFERROR(IF(INDEX(SubsidieTabel!$Q$1:$T$9,MATCH($F999,SubsidieTabel!$Q$1:$Q$9,0),IFERROR(MATCH(Methode_Keuze,SubsidieTabel!$Q$1:$T$1,0),2))&lt;&gt;1=TRUE,"ja",""),"")</f>
        <v/>
      </c>
    </row>
    <row r="1000" spans="1:27" ht="15" customHeight="1" x14ac:dyDescent="0.25">
      <c r="A1000" s="85"/>
      <c r="B1000" s="217" t="str">
        <f>IF(A1000&lt;&gt;"",_xlfn.MAXIFS($B$1:B999,$A$1:A999,A1000)+1,"")</f>
        <v/>
      </c>
      <c r="C1000" s="50"/>
      <c r="D1000" s="50"/>
      <c r="E1000" s="50"/>
      <c r="F1000" s="50"/>
      <c r="G1000" s="280"/>
      <c r="H1000" s="293"/>
      <c r="I1000" s="292"/>
      <c r="J1000" s="292"/>
      <c r="K1000" s="200"/>
      <c r="L1000" s="200"/>
      <c r="M1000" s="89" t="str">
        <f>IFERROR(VLOOKUP(H1000,Lijsten!$H$1:$I$100,2,0),"")</f>
        <v/>
      </c>
      <c r="N1000" s="89" t="str" cm="1">
        <f t="array" ref="N1000">IFERROR(_xlfn.IFS(AND(LEFT(F1000,6)="Arbeid",RIGHT(F1000,3)&lt;&gt;"IKS"),IFERROR(VLOOKUP($G1000,Tb_KostenTypen[],2,0),"tarief"),RIGHT(F1000,3)="IKS","Uurtarief",LEFT(F1000,6)="Arbeid","Uurtarief",AND(LEFT(F1000,8)="Bijdrage",RIGHT(F1000,15)="(vrijwilligers)"),"Vast tarief"),"")</f>
        <v/>
      </c>
      <c r="O1000" s="90"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0"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1"/>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59"/>
      <c r="Z1000" s="49"/>
      <c r="AA1000" s="37" t="str" cm="1">
        <f t="array" ref="AA1000">IFERROR(IF(INDEX(SubsidieTabel!$Q$1:$T$9,MATCH($F1000,SubsidieTabel!$Q$1:$Q$9,0),IFERROR(MATCH(Methode_Keuze,SubsidieTabel!$Q$1:$T$1,0),2))&lt;&gt;1=TRUE,"ja",""),"")</f>
        <v/>
      </c>
    </row>
    <row r="1001" spans="1:27" ht="15" customHeight="1" x14ac:dyDescent="0.25">
      <c r="A1001" s="85"/>
      <c r="B1001" s="217" t="str">
        <f>IF(A1001&lt;&gt;"",_xlfn.MAXIFS($B$1:B1000,$A$1:A1000,A1001)+1,"")</f>
        <v/>
      </c>
      <c r="C1001" s="50"/>
      <c r="D1001" s="50"/>
      <c r="E1001" s="50"/>
      <c r="F1001" s="50"/>
      <c r="G1001" s="280"/>
      <c r="H1001" s="293"/>
      <c r="I1001" s="292"/>
      <c r="J1001" s="292"/>
      <c r="K1001" s="200"/>
      <c r="L1001" s="200"/>
      <c r="M1001" s="89" t="str">
        <f>IFERROR(VLOOKUP(H1001,Lijsten!$H$1:$I$100,2,0),"")</f>
        <v/>
      </c>
      <c r="N1001" s="89" t="str" cm="1">
        <f t="array" ref="N1001">IFERROR(_xlfn.IFS(AND(LEFT(F1001,6)="Arbeid",RIGHT(F1001,3)&lt;&gt;"IKS"),IFERROR(VLOOKUP($G1001,Tb_KostenTypen[],2,0),"tarief"),RIGHT(F1001,3)="IKS","Uurtarief",LEFT(F1001,6)="Arbeid","Uurtarief",AND(LEFT(F1001,8)="Bijdrage",RIGHT(F1001,15)="(vrijwilligers)"),"Vast tarief"),"")</f>
        <v/>
      </c>
      <c r="O1001" s="90"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0"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1"/>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59"/>
      <c r="Z1001" s="49"/>
      <c r="AA1001" s="37" t="str" cm="1">
        <f t="array" ref="AA1001">IFERROR(IF(INDEX(SubsidieTabel!$Q$1:$T$9,MATCH($F1001,SubsidieTabel!$Q$1:$Q$9,0),IFERROR(MATCH(Methode_Keuze,SubsidieTabel!$Q$1:$T$1,0),2))&lt;&gt;1=TRUE,"ja",""),"")</f>
        <v/>
      </c>
    </row>
    <row r="1002" spans="1:27" ht="15" customHeight="1" x14ac:dyDescent="0.25">
      <c r="A1002" s="85"/>
      <c r="B1002" s="217" t="str">
        <f>IF(A1002&lt;&gt;"",_xlfn.MAXIFS($B$1:B1001,$A$1:A1001,A1002)+1,"")</f>
        <v/>
      </c>
      <c r="C1002" s="50"/>
      <c r="D1002" s="50"/>
      <c r="E1002" s="50"/>
      <c r="F1002" s="50"/>
      <c r="G1002" s="280"/>
      <c r="H1002" s="293"/>
      <c r="I1002" s="292"/>
      <c r="J1002" s="292"/>
      <c r="K1002" s="200"/>
      <c r="L1002" s="200"/>
      <c r="M1002" s="89" t="str">
        <f>IFERROR(VLOOKUP(H1002,Lijsten!$H$1:$I$100,2,0),"")</f>
        <v/>
      </c>
      <c r="N1002" s="89" t="str" cm="1">
        <f t="array" ref="N1002">IFERROR(_xlfn.IFS(AND(LEFT(F1002,6)="Arbeid",RIGHT(F1002,3)&lt;&gt;"IKS"),IFERROR(VLOOKUP($G1002,Tb_KostenTypen[],2,0),"tarief"),RIGHT(F1002,3)="IKS","Uurtarief",LEFT(F1002,6)="Arbeid","Uurtarief",AND(LEFT(F1002,8)="Bijdrage",RIGHT(F1002,15)="(vrijwilligers)"),"Vast tarief"),"")</f>
        <v/>
      </c>
      <c r="O1002" s="90"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0"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1"/>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59"/>
      <c r="Z1002" s="49"/>
      <c r="AA1002" s="37" t="str" cm="1">
        <f t="array" ref="AA1002">IFERROR(IF(INDEX(SubsidieTabel!$Q$1:$T$9,MATCH($F1002,SubsidieTabel!$Q$1:$Q$9,0),IFERROR(MATCH(Methode_Keuze,SubsidieTabel!$Q$1:$T$1,0),2))&lt;&gt;1=TRUE,"ja",""),"")</f>
        <v/>
      </c>
    </row>
    <row r="1003" spans="1:27" ht="15" customHeight="1" x14ac:dyDescent="0.25">
      <c r="A1003" s="85"/>
      <c r="B1003" s="217" t="str">
        <f>IF(A1003&lt;&gt;"",_xlfn.MAXIFS($B$1:B1002,$A$1:A1002,A1003)+1,"")</f>
        <v/>
      </c>
      <c r="C1003" s="50"/>
      <c r="D1003" s="50"/>
      <c r="E1003" s="50"/>
      <c r="F1003" s="50"/>
      <c r="G1003" s="280"/>
      <c r="H1003" s="293"/>
      <c r="I1003" s="292"/>
      <c r="J1003" s="292"/>
      <c r="K1003" s="200"/>
      <c r="L1003" s="200"/>
      <c r="M1003" s="89" t="str">
        <f>IFERROR(VLOOKUP(H1003,Lijsten!$H$1:$I$100,2,0),"")</f>
        <v/>
      </c>
      <c r="N1003" s="89" t="str" cm="1">
        <f t="array" ref="N1003">IFERROR(_xlfn.IFS(AND(LEFT(F1003,6)="Arbeid",RIGHT(F1003,3)&lt;&gt;"IKS"),IFERROR(VLOOKUP($G1003,Tb_KostenTypen[],2,0),"tarief"),RIGHT(F1003,3)="IKS","Uurtarief",LEFT(F1003,6)="Arbeid","Uurtarief",AND(LEFT(F1003,8)="Bijdrage",RIGHT(F1003,15)="(vrijwilligers)"),"Vast tarief"),"")</f>
        <v/>
      </c>
      <c r="O1003" s="90"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0"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1"/>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59"/>
      <c r="Z1003" s="49"/>
      <c r="AA1003" s="37" t="str" cm="1">
        <f t="array" ref="AA1003">IFERROR(IF(INDEX(SubsidieTabel!$Q$1:$T$9,MATCH($F1003,SubsidieTabel!$Q$1:$Q$9,0),IFERROR(MATCH(Methode_Keuze,SubsidieTabel!$Q$1:$T$1,0),2))&lt;&gt;1=TRUE,"ja",""),"")</f>
        <v/>
      </c>
    </row>
    <row r="1004" spans="1:27" ht="15" customHeight="1" x14ac:dyDescent="0.25">
      <c r="A1004" s="85"/>
      <c r="B1004" s="217" t="str">
        <f>IF(A1004&lt;&gt;"",_xlfn.MAXIFS($B$1:B1003,$A$1:A1003,A1004)+1,"")</f>
        <v/>
      </c>
      <c r="C1004" s="50"/>
      <c r="D1004" s="50"/>
      <c r="E1004" s="50"/>
      <c r="F1004" s="50"/>
      <c r="G1004" s="280"/>
      <c r="H1004" s="293"/>
      <c r="I1004" s="292"/>
      <c r="J1004" s="292"/>
      <c r="K1004" s="200"/>
      <c r="L1004" s="200"/>
      <c r="M1004" s="89" t="str">
        <f>IFERROR(VLOOKUP(H1004,Lijsten!$H$1:$I$100,2,0),"")</f>
        <v/>
      </c>
      <c r="N1004" s="89" t="str" cm="1">
        <f t="array" ref="N1004">IFERROR(_xlfn.IFS(AND(LEFT(F1004,6)="Arbeid",RIGHT(F1004,3)&lt;&gt;"IKS"),IFERROR(VLOOKUP($G1004,Tb_KostenTypen[],2,0),"tarief"),RIGHT(F1004,3)="IKS","Uurtarief",LEFT(F1004,6)="Arbeid","Uurtarief",AND(LEFT(F1004,8)="Bijdrage",RIGHT(F1004,15)="(vrijwilligers)"),"Vast tarief"),"")</f>
        <v/>
      </c>
      <c r="O1004" s="90"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0"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1"/>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59"/>
      <c r="Z1004" s="49"/>
      <c r="AA1004" s="37" t="str" cm="1">
        <f t="array" ref="AA1004">IFERROR(IF(INDEX(SubsidieTabel!$Q$1:$T$9,MATCH($F1004,SubsidieTabel!$Q$1:$Q$9,0),IFERROR(MATCH(Methode_Keuze,SubsidieTabel!$Q$1:$T$1,0),2))&lt;&gt;1=TRUE,"ja",""),"")</f>
        <v/>
      </c>
    </row>
    <row r="1005" spans="1:27" ht="15" customHeight="1" x14ac:dyDescent="0.25">
      <c r="A1005" s="85"/>
      <c r="B1005" s="217" t="str">
        <f>IF(A1005&lt;&gt;"",_xlfn.MAXIFS($B$1:B1004,$A$1:A1004,A1005)+1,"")</f>
        <v/>
      </c>
      <c r="C1005" s="50"/>
      <c r="D1005" s="50"/>
      <c r="E1005" s="50"/>
      <c r="F1005" s="50"/>
      <c r="G1005" s="280"/>
      <c r="H1005" s="293"/>
      <c r="I1005" s="292"/>
      <c r="J1005" s="292"/>
      <c r="K1005" s="200"/>
      <c r="L1005" s="200"/>
      <c r="M1005" s="89" t="str">
        <f>IFERROR(VLOOKUP(H1005,Lijsten!$H$1:$I$100,2,0),"")</f>
        <v/>
      </c>
      <c r="N1005" s="89" t="str" cm="1">
        <f t="array" ref="N1005">IFERROR(_xlfn.IFS(AND(LEFT(F1005,6)="Arbeid",RIGHT(F1005,3)&lt;&gt;"IKS"),IFERROR(VLOOKUP($G1005,Tb_KostenTypen[],2,0),"tarief"),RIGHT(F1005,3)="IKS","Uurtarief",LEFT(F1005,6)="Arbeid","Uurtarief",AND(LEFT(F1005,8)="Bijdrage",RIGHT(F1005,15)="(vrijwilligers)"),"Vast tarief"),"")</f>
        <v/>
      </c>
      <c r="O1005" s="90"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0"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1"/>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59"/>
      <c r="Z1005" s="49"/>
      <c r="AA1005" s="37" t="str" cm="1">
        <f t="array" ref="AA1005">IFERROR(IF(INDEX(SubsidieTabel!$Q$1:$T$9,MATCH($F1005,SubsidieTabel!$Q$1:$Q$9,0),IFERROR(MATCH(Methode_Keuze,SubsidieTabel!$Q$1:$T$1,0),2))&lt;&gt;1=TRUE,"ja",""),"")</f>
        <v/>
      </c>
    </row>
    <row r="1006" spans="1:27" ht="15" customHeight="1" x14ac:dyDescent="0.25">
      <c r="A1006" s="85"/>
      <c r="B1006" s="217" t="str">
        <f>IF(A1006&lt;&gt;"",_xlfn.MAXIFS($B$1:B1005,$A$1:A1005,A1006)+1,"")</f>
        <v/>
      </c>
      <c r="C1006" s="50"/>
      <c r="D1006" s="50"/>
      <c r="E1006" s="50"/>
      <c r="F1006" s="50"/>
      <c r="G1006" s="280"/>
      <c r="H1006" s="293"/>
      <c r="I1006" s="292"/>
      <c r="J1006" s="292"/>
      <c r="K1006" s="200"/>
      <c r="L1006" s="200"/>
      <c r="M1006" s="89" t="str">
        <f>IFERROR(VLOOKUP(H1006,Lijsten!$H$1:$I$100,2,0),"")</f>
        <v/>
      </c>
      <c r="N1006" s="89" t="str" cm="1">
        <f t="array" ref="N1006">IFERROR(_xlfn.IFS(AND(LEFT(F1006,6)="Arbeid",RIGHT(F1006,3)&lt;&gt;"IKS"),IFERROR(VLOOKUP($G1006,Tb_KostenTypen[],2,0),"tarief"),RIGHT(F1006,3)="IKS","Uurtarief",LEFT(F1006,6)="Arbeid","Uurtarief",AND(LEFT(F1006,8)="Bijdrage",RIGHT(F1006,15)="(vrijwilligers)"),"Vast tarief"),"")</f>
        <v/>
      </c>
      <c r="O1006" s="90"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0"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1"/>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59"/>
      <c r="Z1006" s="49"/>
      <c r="AA1006" s="37" t="str" cm="1">
        <f t="array" ref="AA1006">IFERROR(IF(INDEX(SubsidieTabel!$Q$1:$T$9,MATCH($F1006,SubsidieTabel!$Q$1:$Q$9,0),IFERROR(MATCH(Methode_Keuze,SubsidieTabel!$Q$1:$T$1,0),2))&lt;&gt;1=TRUE,"ja",""),"")</f>
        <v/>
      </c>
    </row>
    <row r="1007" spans="1:27" ht="15" customHeight="1" x14ac:dyDescent="0.25">
      <c r="A1007" s="85"/>
      <c r="B1007" s="217" t="str">
        <f>IF(A1007&lt;&gt;"",_xlfn.MAXIFS($B$1:B1006,$A$1:A1006,A1007)+1,"")</f>
        <v/>
      </c>
      <c r="C1007" s="50"/>
      <c r="D1007" s="50"/>
      <c r="E1007" s="50"/>
      <c r="F1007" s="50"/>
      <c r="G1007" s="280"/>
      <c r="H1007" s="293"/>
      <c r="I1007" s="292"/>
      <c r="J1007" s="292"/>
      <c r="K1007" s="200"/>
      <c r="L1007" s="200"/>
      <c r="M1007" s="89" t="str">
        <f>IFERROR(VLOOKUP(H1007,Lijsten!$H$1:$I$100,2,0),"")</f>
        <v/>
      </c>
      <c r="N1007" s="89" t="str" cm="1">
        <f t="array" ref="N1007">IFERROR(_xlfn.IFS(AND(LEFT(F1007,6)="Arbeid",RIGHT(F1007,3)&lt;&gt;"IKS"),IFERROR(VLOOKUP($G1007,Tb_KostenTypen[],2,0),"tarief"),RIGHT(F1007,3)="IKS","Uurtarief",LEFT(F1007,6)="Arbeid","Uurtarief",AND(LEFT(F1007,8)="Bijdrage",RIGHT(F1007,15)="(vrijwilligers)"),"Vast tarief"),"")</f>
        <v/>
      </c>
      <c r="O1007" s="90"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0"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1"/>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59"/>
      <c r="Z1007" s="49"/>
      <c r="AA1007" s="37" t="str" cm="1">
        <f t="array" ref="AA1007">IFERROR(IF(INDEX(SubsidieTabel!$Q$1:$T$9,MATCH($F1007,SubsidieTabel!$Q$1:$Q$9,0),IFERROR(MATCH(Methode_Keuze,SubsidieTabel!$Q$1:$T$1,0),2))&lt;&gt;1=TRUE,"ja",""),"")</f>
        <v/>
      </c>
    </row>
    <row r="1008" spans="1:27" ht="15" customHeight="1" x14ac:dyDescent="0.25">
      <c r="A1008" s="85"/>
      <c r="B1008" s="217" t="str">
        <f>IF(A1008&lt;&gt;"",_xlfn.MAXIFS($B$1:B1007,$A$1:A1007,A1008)+1,"")</f>
        <v/>
      </c>
      <c r="C1008" s="50"/>
      <c r="D1008" s="50"/>
      <c r="E1008" s="50"/>
      <c r="F1008" s="50"/>
      <c r="G1008" s="280"/>
      <c r="H1008" s="293"/>
      <c r="I1008" s="292"/>
      <c r="J1008" s="292"/>
      <c r="K1008" s="200"/>
      <c r="L1008" s="200"/>
      <c r="M1008" s="89" t="str">
        <f>IFERROR(VLOOKUP(H1008,Lijsten!$H$1:$I$100,2,0),"")</f>
        <v/>
      </c>
      <c r="N1008" s="89" t="str" cm="1">
        <f t="array" ref="N1008">IFERROR(_xlfn.IFS(AND(LEFT(F1008,6)="Arbeid",RIGHT(F1008,3)&lt;&gt;"IKS"),IFERROR(VLOOKUP($G1008,Tb_KostenTypen[],2,0),"tarief"),RIGHT(F1008,3)="IKS","Uurtarief",LEFT(F1008,6)="Arbeid","Uurtarief",AND(LEFT(F1008,8)="Bijdrage",RIGHT(F1008,15)="(vrijwilligers)"),"Vast tarief"),"")</f>
        <v/>
      </c>
      <c r="O1008" s="90"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0"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1"/>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59"/>
      <c r="Z1008" s="49"/>
      <c r="AA1008" s="37" t="str" cm="1">
        <f t="array" ref="AA1008">IFERROR(IF(INDEX(SubsidieTabel!$Q$1:$T$9,MATCH($F1008,SubsidieTabel!$Q$1:$Q$9,0),IFERROR(MATCH(Methode_Keuze,SubsidieTabel!$Q$1:$T$1,0),2))&lt;&gt;1=TRUE,"ja",""),"")</f>
        <v/>
      </c>
    </row>
    <row r="1009" spans="1:27" ht="15" customHeight="1" x14ac:dyDescent="0.25">
      <c r="A1009" s="85"/>
      <c r="B1009" s="217" t="str">
        <f>IF(A1009&lt;&gt;"",_xlfn.MAXIFS($B$1:B1008,$A$1:A1008,A1009)+1,"")</f>
        <v/>
      </c>
      <c r="C1009" s="50"/>
      <c r="D1009" s="50"/>
      <c r="E1009" s="50"/>
      <c r="F1009" s="50"/>
      <c r="G1009" s="280"/>
      <c r="H1009" s="293"/>
      <c r="I1009" s="292"/>
      <c r="J1009" s="292"/>
      <c r="K1009" s="200"/>
      <c r="L1009" s="200"/>
      <c r="M1009" s="89" t="str">
        <f>IFERROR(VLOOKUP(H1009,Lijsten!$H$1:$I$100,2,0),"")</f>
        <v/>
      </c>
      <c r="N1009" s="89" t="str" cm="1">
        <f t="array" ref="N1009">IFERROR(_xlfn.IFS(AND(LEFT(F1009,6)="Arbeid",RIGHT(F1009,3)&lt;&gt;"IKS"),IFERROR(VLOOKUP($G1009,Tb_KostenTypen[],2,0),"tarief"),RIGHT(F1009,3)="IKS","Uurtarief",LEFT(F1009,6)="Arbeid","Uurtarief",AND(LEFT(F1009,8)="Bijdrage",RIGHT(F1009,15)="(vrijwilligers)"),"Vast tarief"),"")</f>
        <v/>
      </c>
      <c r="O1009" s="90"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0"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1"/>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59"/>
      <c r="Z1009" s="49"/>
      <c r="AA1009" s="37" t="str" cm="1">
        <f t="array" ref="AA1009">IFERROR(IF(INDEX(SubsidieTabel!$Q$1:$T$9,MATCH($F1009,SubsidieTabel!$Q$1:$Q$9,0),IFERROR(MATCH(Methode_Keuze,SubsidieTabel!$Q$1:$T$1,0),2))&lt;&gt;1=TRUE,"ja",""),"")</f>
        <v/>
      </c>
    </row>
    <row r="1010" spans="1:27" ht="15" customHeight="1" x14ac:dyDescent="0.25">
      <c r="A1010" s="85"/>
      <c r="B1010" s="217" t="str">
        <f>IF(A1010&lt;&gt;"",_xlfn.MAXIFS($B$1:B1009,$A$1:A1009,A1010)+1,"")</f>
        <v/>
      </c>
      <c r="C1010" s="50"/>
      <c r="D1010" s="50"/>
      <c r="E1010" s="50"/>
      <c r="F1010" s="50"/>
      <c r="G1010" s="280"/>
      <c r="H1010" s="293"/>
      <c r="I1010" s="292"/>
      <c r="J1010" s="292"/>
      <c r="K1010" s="200"/>
      <c r="L1010" s="200"/>
      <c r="M1010" s="89" t="str">
        <f>IFERROR(VLOOKUP(H1010,Lijsten!$H$1:$I$100,2,0),"")</f>
        <v/>
      </c>
      <c r="N1010" s="89" t="str" cm="1">
        <f t="array" ref="N1010">IFERROR(_xlfn.IFS(AND(LEFT(F1010,6)="Arbeid",RIGHT(F1010,3)&lt;&gt;"IKS"),IFERROR(VLOOKUP($G1010,Tb_KostenTypen[],2,0),"tarief"),RIGHT(F1010,3)="IKS","Uurtarief",LEFT(F1010,6)="Arbeid","Uurtarief",AND(LEFT(F1010,8)="Bijdrage",RIGHT(F1010,15)="(vrijwilligers)"),"Vast tarief"),"")</f>
        <v/>
      </c>
      <c r="O1010" s="90"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0"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1"/>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59"/>
      <c r="Z1010" s="49"/>
      <c r="AA1010" s="37" t="str" cm="1">
        <f t="array" ref="AA1010">IFERROR(IF(INDEX(SubsidieTabel!$Q$1:$T$9,MATCH($F1010,SubsidieTabel!$Q$1:$Q$9,0),IFERROR(MATCH(Methode_Keuze,SubsidieTabel!$Q$1:$T$1,0),2))&lt;&gt;1=TRUE,"ja",""),"")</f>
        <v/>
      </c>
    </row>
    <row r="1011" spans="1:27" ht="15" customHeight="1" x14ac:dyDescent="0.25">
      <c r="A1011" s="85"/>
      <c r="B1011" s="217" t="str">
        <f>IF(A1011&lt;&gt;"",_xlfn.MAXIFS($B$1:B1010,$A$1:A1010,A1011)+1,"")</f>
        <v/>
      </c>
      <c r="C1011" s="50"/>
      <c r="D1011" s="50"/>
      <c r="E1011" s="50"/>
      <c r="F1011" s="50"/>
      <c r="G1011" s="280"/>
      <c r="H1011" s="293"/>
      <c r="I1011" s="292"/>
      <c r="J1011" s="292"/>
      <c r="K1011" s="200"/>
      <c r="L1011" s="200"/>
      <c r="M1011" s="89" t="str">
        <f>IFERROR(VLOOKUP(H1011,Lijsten!$H$1:$I$100,2,0),"")</f>
        <v/>
      </c>
      <c r="N1011" s="89" t="str" cm="1">
        <f t="array" ref="N1011">IFERROR(_xlfn.IFS(AND(LEFT(F1011,6)="Arbeid",RIGHT(F1011,3)&lt;&gt;"IKS"),IFERROR(VLOOKUP($G1011,Tb_KostenTypen[],2,0),"tarief"),RIGHT(F1011,3)="IKS","Uurtarief",LEFT(F1011,6)="Arbeid","Uurtarief",AND(LEFT(F1011,8)="Bijdrage",RIGHT(F1011,15)="(vrijwilligers)"),"Vast tarief"),"")</f>
        <v/>
      </c>
      <c r="O1011" s="90"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0"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1"/>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59"/>
      <c r="Z1011" s="49"/>
      <c r="AA1011" s="37" t="str" cm="1">
        <f t="array" ref="AA1011">IFERROR(IF(INDEX(SubsidieTabel!$Q$1:$T$9,MATCH($F1011,SubsidieTabel!$Q$1:$Q$9,0),IFERROR(MATCH(Methode_Keuze,SubsidieTabel!$Q$1:$T$1,0),2))&lt;&gt;1=TRUE,"ja",""),"")</f>
        <v/>
      </c>
    </row>
    <row r="1012" spans="1:27" ht="15" customHeight="1" x14ac:dyDescent="0.25">
      <c r="A1012" s="85"/>
      <c r="B1012" s="217" t="str">
        <f>IF(A1012&lt;&gt;"",_xlfn.MAXIFS($B$1:B1011,$A$1:A1011,A1012)+1,"")</f>
        <v/>
      </c>
      <c r="C1012" s="50"/>
      <c r="D1012" s="50"/>
      <c r="E1012" s="50"/>
      <c r="F1012" s="50"/>
      <c r="G1012" s="280"/>
      <c r="H1012" s="293"/>
      <c r="I1012" s="292"/>
      <c r="J1012" s="292"/>
      <c r="K1012" s="200"/>
      <c r="L1012" s="200"/>
      <c r="M1012" s="89" t="str">
        <f>IFERROR(VLOOKUP(H1012,Lijsten!$H$1:$I$100,2,0),"")</f>
        <v/>
      </c>
      <c r="N1012" s="89" t="str" cm="1">
        <f t="array" ref="N1012">IFERROR(_xlfn.IFS(AND(LEFT(F1012,6)="Arbeid",RIGHT(F1012,3)&lt;&gt;"IKS"),IFERROR(VLOOKUP($G1012,Tb_KostenTypen[],2,0),"tarief"),RIGHT(F1012,3)="IKS","Uurtarief",LEFT(F1012,6)="Arbeid","Uurtarief",AND(LEFT(F1012,8)="Bijdrage",RIGHT(F1012,15)="(vrijwilligers)"),"Vast tarief"),"")</f>
        <v/>
      </c>
      <c r="O1012" s="90"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0"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1"/>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59"/>
      <c r="Z1012" s="49"/>
      <c r="AA1012" s="37" t="str" cm="1">
        <f t="array" ref="AA1012">IFERROR(IF(INDEX(SubsidieTabel!$Q$1:$T$9,MATCH($F1012,SubsidieTabel!$Q$1:$Q$9,0),IFERROR(MATCH(Methode_Keuze,SubsidieTabel!$Q$1:$T$1,0),2))&lt;&gt;1=TRUE,"ja",""),"")</f>
        <v/>
      </c>
    </row>
    <row r="1013" spans="1:27" ht="15" customHeight="1" x14ac:dyDescent="0.25">
      <c r="A1013" s="85"/>
      <c r="B1013" s="217" t="str">
        <f>IF(A1013&lt;&gt;"",_xlfn.MAXIFS($B$1:B1012,$A$1:A1012,A1013)+1,"")</f>
        <v/>
      </c>
      <c r="C1013" s="50"/>
      <c r="D1013" s="50"/>
      <c r="E1013" s="50"/>
      <c r="F1013" s="50"/>
      <c r="G1013" s="280"/>
      <c r="H1013" s="293"/>
      <c r="I1013" s="292"/>
      <c r="J1013" s="292"/>
      <c r="K1013" s="200"/>
      <c r="L1013" s="200"/>
      <c r="M1013" s="89" t="str">
        <f>IFERROR(VLOOKUP(H1013,Lijsten!$H$1:$I$100,2,0),"")</f>
        <v/>
      </c>
      <c r="N1013" s="89" t="str" cm="1">
        <f t="array" ref="N1013">IFERROR(_xlfn.IFS(AND(LEFT(F1013,6)="Arbeid",RIGHT(F1013,3)&lt;&gt;"IKS"),IFERROR(VLOOKUP($G1013,Tb_KostenTypen[],2,0),"tarief"),RIGHT(F1013,3)="IKS","Uurtarief",LEFT(F1013,6)="Arbeid","Uurtarief",AND(LEFT(F1013,8)="Bijdrage",RIGHT(F1013,15)="(vrijwilligers)"),"Vast tarief"),"")</f>
        <v/>
      </c>
      <c r="O1013" s="90"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0"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1"/>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59"/>
      <c r="Z1013" s="49"/>
      <c r="AA1013" s="37" t="str" cm="1">
        <f t="array" ref="AA1013">IFERROR(IF(INDEX(SubsidieTabel!$Q$1:$T$9,MATCH($F1013,SubsidieTabel!$Q$1:$Q$9,0),IFERROR(MATCH(Methode_Keuze,SubsidieTabel!$Q$1:$T$1,0),2))&lt;&gt;1=TRUE,"ja",""),"")</f>
        <v/>
      </c>
    </row>
    <row r="1014" spans="1:27" ht="15" customHeight="1" x14ac:dyDescent="0.25">
      <c r="A1014" s="85"/>
      <c r="B1014" s="217" t="str">
        <f>IF(A1014&lt;&gt;"",_xlfn.MAXIFS($B$1:B1013,$A$1:A1013,A1014)+1,"")</f>
        <v/>
      </c>
      <c r="C1014" s="50"/>
      <c r="D1014" s="50"/>
      <c r="E1014" s="50"/>
      <c r="F1014" s="50"/>
      <c r="G1014" s="280"/>
      <c r="H1014" s="293"/>
      <c r="I1014" s="292"/>
      <c r="J1014" s="292"/>
      <c r="K1014" s="200"/>
      <c r="L1014" s="200"/>
      <c r="M1014" s="89" t="str">
        <f>IFERROR(VLOOKUP(H1014,Lijsten!$H$1:$I$100,2,0),"")</f>
        <v/>
      </c>
      <c r="N1014" s="89" t="str" cm="1">
        <f t="array" ref="N1014">IFERROR(_xlfn.IFS(AND(LEFT(F1014,6)="Arbeid",RIGHT(F1014,3)&lt;&gt;"IKS"),IFERROR(VLOOKUP($G1014,Tb_KostenTypen[],2,0),"tarief"),RIGHT(F1014,3)="IKS","Uurtarief",LEFT(F1014,6)="Arbeid","Uurtarief",AND(LEFT(F1014,8)="Bijdrage",RIGHT(F1014,15)="(vrijwilligers)"),"Vast tarief"),"")</f>
        <v/>
      </c>
      <c r="O1014" s="90"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0"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1"/>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59"/>
      <c r="Z1014" s="49"/>
      <c r="AA1014" s="37" t="str" cm="1">
        <f t="array" ref="AA1014">IFERROR(IF(INDEX(SubsidieTabel!$Q$1:$T$9,MATCH($F1014,SubsidieTabel!$Q$1:$Q$9,0),IFERROR(MATCH(Methode_Keuze,SubsidieTabel!$Q$1:$T$1,0),2))&lt;&gt;1=TRUE,"ja",""),"")</f>
        <v/>
      </c>
    </row>
    <row r="1015" spans="1:27" ht="15" customHeight="1" x14ac:dyDescent="0.25">
      <c r="A1015" s="85"/>
      <c r="B1015" s="217" t="str">
        <f>IF(A1015&lt;&gt;"",_xlfn.MAXIFS($B$1:B1014,$A$1:A1014,A1015)+1,"")</f>
        <v/>
      </c>
      <c r="C1015" s="50"/>
      <c r="D1015" s="50"/>
      <c r="E1015" s="50"/>
      <c r="F1015" s="50"/>
      <c r="G1015" s="280"/>
      <c r="H1015" s="293"/>
      <c r="I1015" s="292"/>
      <c r="J1015" s="292"/>
      <c r="K1015" s="200"/>
      <c r="L1015" s="200"/>
      <c r="M1015" s="89" t="str">
        <f>IFERROR(VLOOKUP(H1015,Lijsten!$H$1:$I$100,2,0),"")</f>
        <v/>
      </c>
      <c r="N1015" s="89" t="str" cm="1">
        <f t="array" ref="N1015">IFERROR(_xlfn.IFS(AND(LEFT(F1015,6)="Arbeid",RIGHT(F1015,3)&lt;&gt;"IKS"),IFERROR(VLOOKUP($G1015,Tb_KostenTypen[],2,0),"tarief"),RIGHT(F1015,3)="IKS","Uurtarief",LEFT(F1015,6)="Arbeid","Uurtarief",AND(LEFT(F1015,8)="Bijdrage",RIGHT(F1015,15)="(vrijwilligers)"),"Vast tarief"),"")</f>
        <v/>
      </c>
      <c r="O1015" s="90"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0"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1"/>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59"/>
      <c r="Z1015" s="49"/>
      <c r="AA1015" s="37" t="str" cm="1">
        <f t="array" ref="AA1015">IFERROR(IF(INDEX(SubsidieTabel!$Q$1:$T$9,MATCH($F1015,SubsidieTabel!$Q$1:$Q$9,0),IFERROR(MATCH(Methode_Keuze,SubsidieTabel!$Q$1:$T$1,0),2))&lt;&gt;1=TRUE,"ja",""),"")</f>
        <v/>
      </c>
    </row>
    <row r="1016" spans="1:27" ht="15" customHeight="1" x14ac:dyDescent="0.25">
      <c r="A1016" s="85"/>
      <c r="B1016" s="217" t="str">
        <f>IF(A1016&lt;&gt;"",_xlfn.MAXIFS($B$1:B1015,$A$1:A1015,A1016)+1,"")</f>
        <v/>
      </c>
      <c r="C1016" s="50"/>
      <c r="D1016" s="50"/>
      <c r="E1016" s="50"/>
      <c r="F1016" s="50"/>
      <c r="G1016" s="280"/>
      <c r="H1016" s="293"/>
      <c r="I1016" s="292"/>
      <c r="J1016" s="292"/>
      <c r="K1016" s="200"/>
      <c r="L1016" s="200"/>
      <c r="M1016" s="89" t="str">
        <f>IFERROR(VLOOKUP(H1016,Lijsten!$H$1:$I$100,2,0),"")</f>
        <v/>
      </c>
      <c r="N1016" s="89" t="str" cm="1">
        <f t="array" ref="N1016">IFERROR(_xlfn.IFS(AND(LEFT(F1016,6)="Arbeid",RIGHT(F1016,3)&lt;&gt;"IKS"),IFERROR(VLOOKUP($G1016,Tb_KostenTypen[],2,0),"tarief"),RIGHT(F1016,3)="IKS","Uurtarief",LEFT(F1016,6)="Arbeid","Uurtarief",AND(LEFT(F1016,8)="Bijdrage",RIGHT(F1016,15)="(vrijwilligers)"),"Vast tarief"),"")</f>
        <v/>
      </c>
      <c r="O1016" s="90"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0"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1"/>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59"/>
      <c r="Z1016" s="49"/>
      <c r="AA1016" s="37" t="str" cm="1">
        <f t="array" ref="AA1016">IFERROR(IF(INDEX(SubsidieTabel!$Q$1:$T$9,MATCH($F1016,SubsidieTabel!$Q$1:$Q$9,0),IFERROR(MATCH(Methode_Keuze,SubsidieTabel!$Q$1:$T$1,0),2))&lt;&gt;1=TRUE,"ja",""),"")</f>
        <v/>
      </c>
    </row>
    <row r="1017" spans="1:27" ht="15" customHeight="1" x14ac:dyDescent="0.25">
      <c r="A1017" s="85"/>
      <c r="B1017" s="217" t="str">
        <f>IF(A1017&lt;&gt;"",_xlfn.MAXIFS($B$1:B1016,$A$1:A1016,A1017)+1,"")</f>
        <v/>
      </c>
      <c r="C1017" s="50"/>
      <c r="D1017" s="50"/>
      <c r="E1017" s="50"/>
      <c r="F1017" s="50"/>
      <c r="G1017" s="280"/>
      <c r="H1017" s="293"/>
      <c r="I1017" s="292"/>
      <c r="J1017" s="292"/>
      <c r="K1017" s="200"/>
      <c r="L1017" s="200"/>
      <c r="M1017" s="89" t="str">
        <f>IFERROR(VLOOKUP(H1017,Lijsten!$H$1:$I$100,2,0),"")</f>
        <v/>
      </c>
      <c r="N1017" s="89" t="str" cm="1">
        <f t="array" ref="N1017">IFERROR(_xlfn.IFS(AND(LEFT(F1017,6)="Arbeid",RIGHT(F1017,3)&lt;&gt;"IKS"),IFERROR(VLOOKUP($G1017,Tb_KostenTypen[],2,0),"tarief"),RIGHT(F1017,3)="IKS","Uurtarief",LEFT(F1017,6)="Arbeid","Uurtarief",AND(LEFT(F1017,8)="Bijdrage",RIGHT(F1017,15)="(vrijwilligers)"),"Vast tarief"),"")</f>
        <v/>
      </c>
      <c r="O1017" s="90"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0"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1"/>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59"/>
      <c r="Z1017" s="49"/>
      <c r="AA1017" s="37" t="str" cm="1">
        <f t="array" ref="AA1017">IFERROR(IF(INDEX(SubsidieTabel!$Q$1:$T$9,MATCH($F1017,SubsidieTabel!$Q$1:$Q$9,0),IFERROR(MATCH(Methode_Keuze,SubsidieTabel!$Q$1:$T$1,0),2))&lt;&gt;1=TRUE,"ja",""),"")</f>
        <v/>
      </c>
    </row>
    <row r="1018" spans="1:27" ht="15" customHeight="1" x14ac:dyDescent="0.25">
      <c r="A1018" s="85"/>
      <c r="B1018" s="217" t="str">
        <f>IF(A1018&lt;&gt;"",_xlfn.MAXIFS($B$1:B1017,$A$1:A1017,A1018)+1,"")</f>
        <v/>
      </c>
      <c r="C1018" s="50"/>
      <c r="D1018" s="50"/>
      <c r="E1018" s="50"/>
      <c r="F1018" s="50"/>
      <c r="G1018" s="280"/>
      <c r="H1018" s="293"/>
      <c r="I1018" s="292"/>
      <c r="J1018" s="292"/>
      <c r="K1018" s="200"/>
      <c r="L1018" s="200"/>
      <c r="M1018" s="89" t="str">
        <f>IFERROR(VLOOKUP(H1018,Lijsten!$H$1:$I$100,2,0),"")</f>
        <v/>
      </c>
      <c r="N1018" s="89" t="str" cm="1">
        <f t="array" ref="N1018">IFERROR(_xlfn.IFS(AND(LEFT(F1018,6)="Arbeid",RIGHT(F1018,3)&lt;&gt;"IKS"),IFERROR(VLOOKUP($G1018,Tb_KostenTypen[],2,0),"tarief"),RIGHT(F1018,3)="IKS","Uurtarief",LEFT(F1018,6)="Arbeid","Uurtarief",AND(LEFT(F1018,8)="Bijdrage",RIGHT(F1018,15)="(vrijwilligers)"),"Vast tarief"),"")</f>
        <v/>
      </c>
      <c r="O1018" s="90"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0"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1"/>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59"/>
      <c r="Z1018" s="49"/>
      <c r="AA1018" s="37" t="str" cm="1">
        <f t="array" ref="AA1018">IFERROR(IF(INDEX(SubsidieTabel!$Q$1:$T$9,MATCH($F1018,SubsidieTabel!$Q$1:$Q$9,0),IFERROR(MATCH(Methode_Keuze,SubsidieTabel!$Q$1:$T$1,0),2))&lt;&gt;1=TRUE,"ja",""),"")</f>
        <v/>
      </c>
    </row>
    <row r="1019" spans="1:27" ht="15" customHeight="1" x14ac:dyDescent="0.25">
      <c r="A1019" s="85"/>
      <c r="B1019" s="217" t="str">
        <f>IF(A1019&lt;&gt;"",_xlfn.MAXIFS($B$1:B1018,$A$1:A1018,A1019)+1,"")</f>
        <v/>
      </c>
      <c r="C1019" s="50"/>
      <c r="D1019" s="50"/>
      <c r="E1019" s="50"/>
      <c r="F1019" s="50"/>
      <c r="G1019" s="280"/>
      <c r="H1019" s="293"/>
      <c r="I1019" s="292"/>
      <c r="J1019" s="292"/>
      <c r="K1019" s="200"/>
      <c r="L1019" s="200"/>
      <c r="M1019" s="89" t="str">
        <f>IFERROR(VLOOKUP(H1019,Lijsten!$H$1:$I$100,2,0),"")</f>
        <v/>
      </c>
      <c r="N1019" s="89" t="str" cm="1">
        <f t="array" ref="N1019">IFERROR(_xlfn.IFS(AND(LEFT(F1019,6)="Arbeid",RIGHT(F1019,3)&lt;&gt;"IKS"),IFERROR(VLOOKUP($G1019,Tb_KostenTypen[],2,0),"tarief"),RIGHT(F1019,3)="IKS","Uurtarief",LEFT(F1019,6)="Arbeid","Uurtarief",AND(LEFT(F1019,8)="Bijdrage",RIGHT(F1019,15)="(vrijwilligers)"),"Vast tarief"),"")</f>
        <v/>
      </c>
      <c r="O1019" s="90"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0"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1"/>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59"/>
      <c r="Z1019" s="49"/>
      <c r="AA1019" s="37" t="str" cm="1">
        <f t="array" ref="AA1019">IFERROR(IF(INDEX(SubsidieTabel!$Q$1:$T$9,MATCH($F1019,SubsidieTabel!$Q$1:$Q$9,0),IFERROR(MATCH(Methode_Keuze,SubsidieTabel!$Q$1:$T$1,0),2))&lt;&gt;1=TRUE,"ja",""),"")</f>
        <v/>
      </c>
    </row>
    <row r="1020" spans="1:27" ht="15" customHeight="1" x14ac:dyDescent="0.25">
      <c r="A1020" s="85"/>
      <c r="B1020" s="217" t="str">
        <f>IF(A1020&lt;&gt;"",_xlfn.MAXIFS($B$1:B1019,$A$1:A1019,A1020)+1,"")</f>
        <v/>
      </c>
      <c r="C1020" s="50"/>
      <c r="D1020" s="50"/>
      <c r="E1020" s="50"/>
      <c r="F1020" s="50"/>
      <c r="G1020" s="280"/>
      <c r="H1020" s="293"/>
      <c r="I1020" s="292"/>
      <c r="J1020" s="292"/>
      <c r="K1020" s="200"/>
      <c r="L1020" s="200"/>
      <c r="M1020" s="89" t="str">
        <f>IFERROR(VLOOKUP(H1020,Lijsten!$H$1:$I$100,2,0),"")</f>
        <v/>
      </c>
      <c r="N1020" s="89" t="str" cm="1">
        <f t="array" ref="N1020">IFERROR(_xlfn.IFS(AND(LEFT(F1020,6)="Arbeid",RIGHT(F1020,3)&lt;&gt;"IKS"),IFERROR(VLOOKUP($G1020,Tb_KostenTypen[],2,0),"tarief"),RIGHT(F1020,3)="IKS","Uurtarief",LEFT(F1020,6)="Arbeid","Uurtarief",AND(LEFT(F1020,8)="Bijdrage",RIGHT(F1020,15)="(vrijwilligers)"),"Vast tarief"),"")</f>
        <v/>
      </c>
      <c r="O1020" s="90"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0"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1"/>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59"/>
      <c r="Z1020" s="49"/>
      <c r="AA1020" s="37" t="str" cm="1">
        <f t="array" ref="AA1020">IFERROR(IF(INDEX(SubsidieTabel!$Q$1:$T$9,MATCH($F1020,SubsidieTabel!$Q$1:$Q$9,0),IFERROR(MATCH(Methode_Keuze,SubsidieTabel!$Q$1:$T$1,0),2))&lt;&gt;1=TRUE,"ja",""),"")</f>
        <v/>
      </c>
    </row>
    <row r="1021" spans="1:27" ht="15" customHeight="1" x14ac:dyDescent="0.25">
      <c r="A1021" s="85"/>
      <c r="B1021" s="217" t="str">
        <f>IF(A1021&lt;&gt;"",_xlfn.MAXIFS($B$1:B1020,$A$1:A1020,A1021)+1,"")</f>
        <v/>
      </c>
      <c r="C1021" s="50"/>
      <c r="D1021" s="50"/>
      <c r="E1021" s="50"/>
      <c r="F1021" s="50"/>
      <c r="G1021" s="280"/>
      <c r="H1021" s="293"/>
      <c r="I1021" s="292"/>
      <c r="J1021" s="292"/>
      <c r="K1021" s="200"/>
      <c r="L1021" s="200"/>
      <c r="M1021" s="89" t="str">
        <f>IFERROR(VLOOKUP(H1021,Lijsten!$H$1:$I$100,2,0),"")</f>
        <v/>
      </c>
      <c r="N1021" s="89" t="str" cm="1">
        <f t="array" ref="N1021">IFERROR(_xlfn.IFS(AND(LEFT(F1021,6)="Arbeid",RIGHT(F1021,3)&lt;&gt;"IKS"),IFERROR(VLOOKUP($G1021,Tb_KostenTypen[],2,0),"tarief"),RIGHT(F1021,3)="IKS","Uurtarief",LEFT(F1021,6)="Arbeid","Uurtarief",AND(LEFT(F1021,8)="Bijdrage",RIGHT(F1021,15)="(vrijwilligers)"),"Vast tarief"),"")</f>
        <v/>
      </c>
      <c r="O1021" s="90"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0"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1"/>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59"/>
      <c r="Z1021" s="49"/>
      <c r="AA1021" s="37" t="str" cm="1">
        <f t="array" ref="AA1021">IFERROR(IF(INDEX(SubsidieTabel!$Q$1:$T$9,MATCH($F1021,SubsidieTabel!$Q$1:$Q$9,0),IFERROR(MATCH(Methode_Keuze,SubsidieTabel!$Q$1:$T$1,0),2))&lt;&gt;1=TRUE,"ja",""),"")</f>
        <v/>
      </c>
    </row>
    <row r="1022" spans="1:27" ht="15" customHeight="1" x14ac:dyDescent="0.25">
      <c r="A1022" s="85"/>
      <c r="B1022" s="217" t="str">
        <f>IF(A1022&lt;&gt;"",_xlfn.MAXIFS($B$1:B1021,$A$1:A1021,A1022)+1,"")</f>
        <v/>
      </c>
      <c r="C1022" s="50"/>
      <c r="D1022" s="50"/>
      <c r="E1022" s="50"/>
      <c r="F1022" s="50"/>
      <c r="G1022" s="280"/>
      <c r="H1022" s="293"/>
      <c r="I1022" s="292"/>
      <c r="J1022" s="292"/>
      <c r="K1022" s="200"/>
      <c r="L1022" s="200"/>
      <c r="M1022" s="89" t="str">
        <f>IFERROR(VLOOKUP(H1022,Lijsten!$H$1:$I$100,2,0),"")</f>
        <v/>
      </c>
      <c r="N1022" s="89" t="str" cm="1">
        <f t="array" ref="N1022">IFERROR(_xlfn.IFS(AND(LEFT(F1022,6)="Arbeid",RIGHT(F1022,3)&lt;&gt;"IKS"),IFERROR(VLOOKUP($G1022,Tb_KostenTypen[],2,0),"tarief"),RIGHT(F1022,3)="IKS","Uurtarief",LEFT(F1022,6)="Arbeid","Uurtarief",AND(LEFT(F1022,8)="Bijdrage",RIGHT(F1022,15)="(vrijwilligers)"),"Vast tarief"),"")</f>
        <v/>
      </c>
      <c r="O1022" s="90"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0"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1"/>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59"/>
      <c r="Z1022" s="49"/>
      <c r="AA1022" s="37" t="str" cm="1">
        <f t="array" ref="AA1022">IFERROR(IF(INDEX(SubsidieTabel!$Q$1:$T$9,MATCH($F1022,SubsidieTabel!$Q$1:$Q$9,0),IFERROR(MATCH(Methode_Keuze,SubsidieTabel!$Q$1:$T$1,0),2))&lt;&gt;1=TRUE,"ja",""),"")</f>
        <v/>
      </c>
    </row>
    <row r="1023" spans="1:27" ht="15" customHeight="1" x14ac:dyDescent="0.25">
      <c r="A1023" s="85"/>
      <c r="B1023" s="217" t="str">
        <f>IF(A1023&lt;&gt;"",_xlfn.MAXIFS($B$1:B1022,$A$1:A1022,A1023)+1,"")</f>
        <v/>
      </c>
      <c r="C1023" s="50"/>
      <c r="D1023" s="50"/>
      <c r="E1023" s="50"/>
      <c r="F1023" s="50"/>
      <c r="G1023" s="280"/>
      <c r="H1023" s="293"/>
      <c r="I1023" s="292"/>
      <c r="J1023" s="292"/>
      <c r="K1023" s="200"/>
      <c r="L1023" s="200"/>
      <c r="M1023" s="89" t="str">
        <f>IFERROR(VLOOKUP(H1023,Lijsten!$H$1:$I$100,2,0),"")</f>
        <v/>
      </c>
      <c r="N1023" s="89" t="str" cm="1">
        <f t="array" ref="N1023">IFERROR(_xlfn.IFS(AND(LEFT(F1023,6)="Arbeid",RIGHT(F1023,3)&lt;&gt;"IKS"),IFERROR(VLOOKUP($G1023,Tb_KostenTypen[],2,0),"tarief"),RIGHT(F1023,3)="IKS","Uurtarief",LEFT(F1023,6)="Arbeid","Uurtarief",AND(LEFT(F1023,8)="Bijdrage",RIGHT(F1023,15)="(vrijwilligers)"),"Vast tarief"),"")</f>
        <v/>
      </c>
      <c r="O1023" s="90"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0"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1"/>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59"/>
      <c r="Z1023" s="49"/>
      <c r="AA1023" s="37" t="str" cm="1">
        <f t="array" ref="AA1023">IFERROR(IF(INDEX(SubsidieTabel!$Q$1:$T$9,MATCH($F1023,SubsidieTabel!$Q$1:$Q$9,0),IFERROR(MATCH(Methode_Keuze,SubsidieTabel!$Q$1:$T$1,0),2))&lt;&gt;1=TRUE,"ja",""),"")</f>
        <v/>
      </c>
    </row>
    <row r="1024" spans="1:27" ht="15" customHeight="1" x14ac:dyDescent="0.25">
      <c r="A1024" s="85"/>
      <c r="B1024" s="217" t="str">
        <f>IF(A1024&lt;&gt;"",_xlfn.MAXIFS($B$1:B1023,$A$1:A1023,A1024)+1,"")</f>
        <v/>
      </c>
      <c r="C1024" s="50"/>
      <c r="D1024" s="50"/>
      <c r="E1024" s="50"/>
      <c r="F1024" s="50"/>
      <c r="G1024" s="280"/>
      <c r="H1024" s="293"/>
      <c r="I1024" s="292"/>
      <c r="J1024" s="292"/>
      <c r="K1024" s="200"/>
      <c r="L1024" s="200"/>
      <c r="M1024" s="89" t="str">
        <f>IFERROR(VLOOKUP(H1024,Lijsten!$H$1:$I$100,2,0),"")</f>
        <v/>
      </c>
      <c r="N1024" s="89" t="str" cm="1">
        <f t="array" ref="N1024">IFERROR(_xlfn.IFS(AND(LEFT(F1024,6)="Arbeid",RIGHT(F1024,3)&lt;&gt;"IKS"),IFERROR(VLOOKUP($G1024,Tb_KostenTypen[],2,0),"tarief"),RIGHT(F1024,3)="IKS","Uurtarief",LEFT(F1024,6)="Arbeid","Uurtarief",AND(LEFT(F1024,8)="Bijdrage",RIGHT(F1024,15)="(vrijwilligers)"),"Vast tarief"),"")</f>
        <v/>
      </c>
      <c r="O1024" s="90"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0"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1"/>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59"/>
      <c r="Z1024" s="49"/>
      <c r="AA1024" s="37" t="str" cm="1">
        <f t="array" ref="AA1024">IFERROR(IF(INDEX(SubsidieTabel!$Q$1:$T$9,MATCH($F1024,SubsidieTabel!$Q$1:$Q$9,0),IFERROR(MATCH(Methode_Keuze,SubsidieTabel!$Q$1:$T$1,0),2))&lt;&gt;1=TRUE,"ja",""),"")</f>
        <v/>
      </c>
    </row>
    <row r="1025" spans="1:27" ht="15" customHeight="1" x14ac:dyDescent="0.25">
      <c r="A1025" s="85"/>
      <c r="B1025" s="217" t="str">
        <f>IF(A1025&lt;&gt;"",_xlfn.MAXIFS($B$1:B1024,$A$1:A1024,A1025)+1,"")</f>
        <v/>
      </c>
      <c r="C1025" s="50"/>
      <c r="D1025" s="50"/>
      <c r="E1025" s="50"/>
      <c r="F1025" s="50"/>
      <c r="G1025" s="280"/>
      <c r="H1025" s="293"/>
      <c r="I1025" s="292"/>
      <c r="J1025" s="292"/>
      <c r="K1025" s="200"/>
      <c r="L1025" s="200"/>
      <c r="M1025" s="89" t="str">
        <f>IFERROR(VLOOKUP(H1025,Lijsten!$H$1:$I$100,2,0),"")</f>
        <v/>
      </c>
      <c r="N1025" s="89" t="str" cm="1">
        <f t="array" ref="N1025">IFERROR(_xlfn.IFS(AND(LEFT(F1025,6)="Arbeid",RIGHT(F1025,3)&lt;&gt;"IKS"),IFERROR(VLOOKUP($G1025,Tb_KostenTypen[],2,0),"tarief"),RIGHT(F1025,3)="IKS","Uurtarief",LEFT(F1025,6)="Arbeid","Uurtarief",AND(LEFT(F1025,8)="Bijdrage",RIGHT(F1025,15)="(vrijwilligers)"),"Vast tarief"),"")</f>
        <v/>
      </c>
      <c r="O1025" s="90"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0"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1"/>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59"/>
      <c r="Z1025" s="49"/>
      <c r="AA1025" s="37" t="str" cm="1">
        <f t="array" ref="AA1025">IFERROR(IF(INDEX(SubsidieTabel!$Q$1:$T$9,MATCH($F1025,SubsidieTabel!$Q$1:$Q$9,0),IFERROR(MATCH(Methode_Keuze,SubsidieTabel!$Q$1:$T$1,0),2))&lt;&gt;1=TRUE,"ja",""),"")</f>
        <v/>
      </c>
    </row>
    <row r="1026" spans="1:27" ht="15" customHeight="1" x14ac:dyDescent="0.25">
      <c r="A1026" s="85"/>
      <c r="B1026" s="217" t="str">
        <f>IF(A1026&lt;&gt;"",_xlfn.MAXIFS($B$1:B1025,$A$1:A1025,A1026)+1,"")</f>
        <v/>
      </c>
      <c r="C1026" s="50"/>
      <c r="D1026" s="50"/>
      <c r="E1026" s="50"/>
      <c r="F1026" s="50"/>
      <c r="G1026" s="280"/>
      <c r="H1026" s="293"/>
      <c r="I1026" s="292"/>
      <c r="J1026" s="292"/>
      <c r="K1026" s="200"/>
      <c r="L1026" s="200"/>
      <c r="M1026" s="89" t="str">
        <f>IFERROR(VLOOKUP(H1026,Lijsten!$H$1:$I$100,2,0),"")</f>
        <v/>
      </c>
      <c r="N1026" s="89" t="str" cm="1">
        <f t="array" ref="N1026">IFERROR(_xlfn.IFS(AND(LEFT(F1026,6)="Arbeid",RIGHT(F1026,3)&lt;&gt;"IKS"),IFERROR(VLOOKUP($G1026,Tb_KostenTypen[],2,0),"tarief"),RIGHT(F1026,3)="IKS","Uurtarief",LEFT(F1026,6)="Arbeid","Uurtarief",AND(LEFT(F1026,8)="Bijdrage",RIGHT(F1026,15)="(vrijwilligers)"),"Vast tarief"),"")</f>
        <v/>
      </c>
      <c r="O1026" s="90"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0"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1"/>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59"/>
      <c r="Z1026" s="49"/>
      <c r="AA1026" s="37" t="str" cm="1">
        <f t="array" ref="AA1026">IFERROR(IF(INDEX(SubsidieTabel!$Q$1:$T$9,MATCH($F1026,SubsidieTabel!$Q$1:$Q$9,0),IFERROR(MATCH(Methode_Keuze,SubsidieTabel!$Q$1:$T$1,0),2))&lt;&gt;1=TRUE,"ja",""),"")</f>
        <v/>
      </c>
    </row>
    <row r="1027" spans="1:27" ht="15" customHeight="1" x14ac:dyDescent="0.25">
      <c r="A1027" s="85"/>
      <c r="B1027" s="217" t="str">
        <f>IF(A1027&lt;&gt;"",_xlfn.MAXIFS($B$1:B1026,$A$1:A1026,A1027)+1,"")</f>
        <v/>
      </c>
      <c r="C1027" s="50"/>
      <c r="D1027" s="50"/>
      <c r="E1027" s="50"/>
      <c r="F1027" s="50"/>
      <c r="G1027" s="280"/>
      <c r="H1027" s="293"/>
      <c r="I1027" s="292"/>
      <c r="J1027" s="292"/>
      <c r="K1027" s="200"/>
      <c r="L1027" s="200"/>
      <c r="M1027" s="89" t="str">
        <f>IFERROR(VLOOKUP(H1027,Lijsten!$H$1:$I$100,2,0),"")</f>
        <v/>
      </c>
      <c r="N1027" s="89" t="str" cm="1">
        <f t="array" ref="N1027">IFERROR(_xlfn.IFS(AND(LEFT(F1027,6)="Arbeid",RIGHT(F1027,3)&lt;&gt;"IKS"),IFERROR(VLOOKUP($G1027,Tb_KostenTypen[],2,0),"tarief"),RIGHT(F1027,3)="IKS","Uurtarief",LEFT(F1027,6)="Arbeid","Uurtarief",AND(LEFT(F1027,8)="Bijdrage",RIGHT(F1027,15)="(vrijwilligers)"),"Vast tarief"),"")</f>
        <v/>
      </c>
      <c r="O1027" s="90"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0"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1"/>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59"/>
      <c r="Z1027" s="49"/>
      <c r="AA1027" s="37" t="str" cm="1">
        <f t="array" ref="AA1027">IFERROR(IF(INDEX(SubsidieTabel!$Q$1:$T$9,MATCH($F1027,SubsidieTabel!$Q$1:$Q$9,0),IFERROR(MATCH(Methode_Keuze,SubsidieTabel!$Q$1:$T$1,0),2))&lt;&gt;1=TRUE,"ja",""),"")</f>
        <v/>
      </c>
    </row>
    <row r="1028" spans="1:27" ht="15" customHeight="1" x14ac:dyDescent="0.25">
      <c r="A1028" s="85"/>
      <c r="B1028" s="217" t="str">
        <f>IF(A1028&lt;&gt;"",_xlfn.MAXIFS($B$1:B1027,$A$1:A1027,A1028)+1,"")</f>
        <v/>
      </c>
      <c r="C1028" s="50"/>
      <c r="D1028" s="50"/>
      <c r="E1028" s="50"/>
      <c r="F1028" s="50"/>
      <c r="G1028" s="280"/>
      <c r="H1028" s="293"/>
      <c r="I1028" s="292"/>
      <c r="J1028" s="292"/>
      <c r="K1028" s="200"/>
      <c r="L1028" s="200"/>
      <c r="M1028" s="89" t="str">
        <f>IFERROR(VLOOKUP(H1028,Lijsten!$H$1:$I$100,2,0),"")</f>
        <v/>
      </c>
      <c r="N1028" s="89" t="str" cm="1">
        <f t="array" ref="N1028">IFERROR(_xlfn.IFS(AND(LEFT(F1028,6)="Arbeid",RIGHT(F1028,3)&lt;&gt;"IKS"),IFERROR(VLOOKUP($G1028,Tb_KostenTypen[],2,0),"tarief"),RIGHT(F1028,3)="IKS","Uurtarief",LEFT(F1028,6)="Arbeid","Uurtarief",AND(LEFT(F1028,8)="Bijdrage",RIGHT(F1028,15)="(vrijwilligers)"),"Vast tarief"),"")</f>
        <v/>
      </c>
      <c r="O1028" s="90"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0"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1"/>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59"/>
      <c r="Z1028" s="49"/>
      <c r="AA1028" s="37" t="str" cm="1">
        <f t="array" ref="AA1028">IFERROR(IF(INDEX(SubsidieTabel!$Q$1:$T$9,MATCH($F1028,SubsidieTabel!$Q$1:$Q$9,0),IFERROR(MATCH(Methode_Keuze,SubsidieTabel!$Q$1:$T$1,0),2))&lt;&gt;1=TRUE,"ja",""),"")</f>
        <v/>
      </c>
    </row>
    <row r="1029" spans="1:27" ht="15" customHeight="1" x14ac:dyDescent="0.25">
      <c r="A1029" s="85"/>
      <c r="B1029" s="217" t="str">
        <f>IF(A1029&lt;&gt;"",_xlfn.MAXIFS($B$1:B1028,$A$1:A1028,A1029)+1,"")</f>
        <v/>
      </c>
      <c r="C1029" s="50"/>
      <c r="D1029" s="50"/>
      <c r="E1029" s="50"/>
      <c r="F1029" s="50"/>
      <c r="G1029" s="280"/>
      <c r="H1029" s="293"/>
      <c r="I1029" s="292"/>
      <c r="J1029" s="292"/>
      <c r="K1029" s="200"/>
      <c r="L1029" s="200"/>
      <c r="M1029" s="89" t="str">
        <f>IFERROR(VLOOKUP(H1029,Lijsten!$H$1:$I$100,2,0),"")</f>
        <v/>
      </c>
      <c r="N1029" s="89" t="str" cm="1">
        <f t="array" ref="N1029">IFERROR(_xlfn.IFS(AND(LEFT(F1029,6)="Arbeid",RIGHT(F1029,3)&lt;&gt;"IKS"),IFERROR(VLOOKUP($G1029,Tb_KostenTypen[],2,0),"tarief"),RIGHT(F1029,3)="IKS","Uurtarief",LEFT(F1029,6)="Arbeid","Uurtarief",AND(LEFT(F1029,8)="Bijdrage",RIGHT(F1029,15)="(vrijwilligers)"),"Vast tarief"),"")</f>
        <v/>
      </c>
      <c r="O1029" s="90"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0"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1"/>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59"/>
      <c r="Z1029" s="49"/>
      <c r="AA1029" s="37" t="str" cm="1">
        <f t="array" ref="AA1029">IFERROR(IF(INDEX(SubsidieTabel!$Q$1:$T$9,MATCH($F1029,SubsidieTabel!$Q$1:$Q$9,0),IFERROR(MATCH(Methode_Keuze,SubsidieTabel!$Q$1:$T$1,0),2))&lt;&gt;1=TRUE,"ja",""),"")</f>
        <v/>
      </c>
    </row>
    <row r="1030" spans="1:27" ht="15" customHeight="1" x14ac:dyDescent="0.25">
      <c r="A1030" s="85"/>
      <c r="B1030" s="217" t="str">
        <f>IF(A1030&lt;&gt;"",_xlfn.MAXIFS($B$1:B1029,$A$1:A1029,A1030)+1,"")</f>
        <v/>
      </c>
      <c r="C1030" s="50"/>
      <c r="D1030" s="50"/>
      <c r="E1030" s="50"/>
      <c r="F1030" s="50"/>
      <c r="G1030" s="280"/>
      <c r="H1030" s="293"/>
      <c r="I1030" s="292"/>
      <c r="J1030" s="292"/>
      <c r="K1030" s="200"/>
      <c r="L1030" s="200"/>
      <c r="M1030" s="89" t="str">
        <f>IFERROR(VLOOKUP(H1030,Lijsten!$H$1:$I$100,2,0),"")</f>
        <v/>
      </c>
      <c r="N1030" s="89" t="str" cm="1">
        <f t="array" ref="N1030">IFERROR(_xlfn.IFS(AND(LEFT(F1030,6)="Arbeid",RIGHT(F1030,3)&lt;&gt;"IKS"),IFERROR(VLOOKUP($G1030,Tb_KostenTypen[],2,0),"tarief"),RIGHT(F1030,3)="IKS","Uurtarief",LEFT(F1030,6)="Arbeid","Uurtarief",AND(LEFT(F1030,8)="Bijdrage",RIGHT(F1030,15)="(vrijwilligers)"),"Vast tarief"),"")</f>
        <v/>
      </c>
      <c r="O1030" s="90"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0"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1"/>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59"/>
      <c r="Z1030" s="49"/>
      <c r="AA1030" s="37" t="str" cm="1">
        <f t="array" ref="AA1030">IFERROR(IF(INDEX(SubsidieTabel!$Q$1:$T$9,MATCH($F1030,SubsidieTabel!$Q$1:$Q$9,0),IFERROR(MATCH(Methode_Keuze,SubsidieTabel!$Q$1:$T$1,0),2))&lt;&gt;1=TRUE,"ja",""),"")</f>
        <v/>
      </c>
    </row>
    <row r="1031" spans="1:27" ht="15" customHeight="1" x14ac:dyDescent="0.25">
      <c r="A1031" s="85"/>
      <c r="B1031" s="217" t="str">
        <f>IF(A1031&lt;&gt;"",_xlfn.MAXIFS($B$1:B1030,$A$1:A1030,A1031)+1,"")</f>
        <v/>
      </c>
      <c r="C1031" s="50"/>
      <c r="D1031" s="50"/>
      <c r="E1031" s="50"/>
      <c r="F1031" s="50"/>
      <c r="G1031" s="280"/>
      <c r="H1031" s="293"/>
      <c r="I1031" s="292"/>
      <c r="J1031" s="292"/>
      <c r="K1031" s="200"/>
      <c r="L1031" s="200"/>
      <c r="M1031" s="89" t="str">
        <f>IFERROR(VLOOKUP(H1031,Lijsten!$H$1:$I$100,2,0),"")</f>
        <v/>
      </c>
      <c r="N1031" s="89" t="str" cm="1">
        <f t="array" ref="N1031">IFERROR(_xlfn.IFS(AND(LEFT(F1031,6)="Arbeid",RIGHT(F1031,3)&lt;&gt;"IKS"),IFERROR(VLOOKUP($G1031,Tb_KostenTypen[],2,0),"tarief"),RIGHT(F1031,3)="IKS","Uurtarief",LEFT(F1031,6)="Arbeid","Uurtarief",AND(LEFT(F1031,8)="Bijdrage",RIGHT(F1031,15)="(vrijwilligers)"),"Vast tarief"),"")</f>
        <v/>
      </c>
      <c r="O1031" s="90"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0"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1"/>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59"/>
      <c r="Z1031" s="49"/>
      <c r="AA1031" s="37" t="str" cm="1">
        <f t="array" ref="AA1031">IFERROR(IF(INDEX(SubsidieTabel!$Q$1:$T$9,MATCH($F1031,SubsidieTabel!$Q$1:$Q$9,0),IFERROR(MATCH(Methode_Keuze,SubsidieTabel!$Q$1:$T$1,0),2))&lt;&gt;1=TRUE,"ja",""),"")</f>
        <v/>
      </c>
    </row>
    <row r="1032" spans="1:27" ht="15" customHeight="1" x14ac:dyDescent="0.25">
      <c r="A1032" s="85"/>
      <c r="B1032" s="217" t="str">
        <f>IF(A1032&lt;&gt;"",_xlfn.MAXIFS($B$1:B1031,$A$1:A1031,A1032)+1,"")</f>
        <v/>
      </c>
      <c r="C1032" s="50"/>
      <c r="D1032" s="50"/>
      <c r="E1032" s="50"/>
      <c r="F1032" s="50"/>
      <c r="G1032" s="280"/>
      <c r="H1032" s="293"/>
      <c r="I1032" s="292"/>
      <c r="J1032" s="292"/>
      <c r="K1032" s="200"/>
      <c r="L1032" s="200"/>
      <c r="M1032" s="89" t="str">
        <f>IFERROR(VLOOKUP(H1032,Lijsten!$H$1:$I$100,2,0),"")</f>
        <v/>
      </c>
      <c r="N1032" s="89" t="str" cm="1">
        <f t="array" ref="N1032">IFERROR(_xlfn.IFS(AND(LEFT(F1032,6)="Arbeid",RIGHT(F1032,3)&lt;&gt;"IKS"),IFERROR(VLOOKUP($G1032,Tb_KostenTypen[],2,0),"tarief"),RIGHT(F1032,3)="IKS","Uurtarief",LEFT(F1032,6)="Arbeid","Uurtarief",AND(LEFT(F1032,8)="Bijdrage",RIGHT(F1032,15)="(vrijwilligers)"),"Vast tarief"),"")</f>
        <v/>
      </c>
      <c r="O1032" s="90"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0"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1"/>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59"/>
      <c r="Z1032" s="49"/>
      <c r="AA1032" s="37" t="str" cm="1">
        <f t="array" ref="AA1032">IFERROR(IF(INDEX(SubsidieTabel!$Q$1:$T$9,MATCH($F1032,SubsidieTabel!$Q$1:$Q$9,0),IFERROR(MATCH(Methode_Keuze,SubsidieTabel!$Q$1:$T$1,0),2))&lt;&gt;1=TRUE,"ja",""),"")</f>
        <v/>
      </c>
    </row>
    <row r="1033" spans="1:27" ht="15" customHeight="1" x14ac:dyDescent="0.25">
      <c r="A1033" s="85"/>
      <c r="B1033" s="217" t="str">
        <f>IF(A1033&lt;&gt;"",_xlfn.MAXIFS($B$1:B1032,$A$1:A1032,A1033)+1,"")</f>
        <v/>
      </c>
      <c r="C1033" s="50"/>
      <c r="D1033" s="50"/>
      <c r="E1033" s="50"/>
      <c r="F1033" s="50"/>
      <c r="G1033" s="280"/>
      <c r="H1033" s="293"/>
      <c r="I1033" s="292"/>
      <c r="J1033" s="292"/>
      <c r="K1033" s="200"/>
      <c r="L1033" s="200"/>
      <c r="M1033" s="89" t="str">
        <f>IFERROR(VLOOKUP(H1033,Lijsten!$H$1:$I$100,2,0),"")</f>
        <v/>
      </c>
      <c r="N1033" s="89" t="str" cm="1">
        <f t="array" ref="N1033">IFERROR(_xlfn.IFS(AND(LEFT(F1033,6)="Arbeid",RIGHT(F1033,3)&lt;&gt;"IKS"),IFERROR(VLOOKUP($G1033,Tb_KostenTypen[],2,0),"tarief"),RIGHT(F1033,3)="IKS","Uurtarief",LEFT(F1033,6)="Arbeid","Uurtarief",AND(LEFT(F1033,8)="Bijdrage",RIGHT(F1033,15)="(vrijwilligers)"),"Vast tarief"),"")</f>
        <v/>
      </c>
      <c r="O1033" s="90"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0"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1"/>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59"/>
      <c r="Z1033" s="49"/>
      <c r="AA1033" s="37" t="str" cm="1">
        <f t="array" ref="AA1033">IFERROR(IF(INDEX(SubsidieTabel!$Q$1:$T$9,MATCH($F1033,SubsidieTabel!$Q$1:$Q$9,0),IFERROR(MATCH(Methode_Keuze,SubsidieTabel!$Q$1:$T$1,0),2))&lt;&gt;1=TRUE,"ja",""),"")</f>
        <v/>
      </c>
    </row>
    <row r="1034" spans="1:27" ht="15" customHeight="1" x14ac:dyDescent="0.25">
      <c r="A1034" s="85"/>
      <c r="B1034" s="217" t="str">
        <f>IF(A1034&lt;&gt;"",_xlfn.MAXIFS($B$1:B1033,$A$1:A1033,A1034)+1,"")</f>
        <v/>
      </c>
      <c r="C1034" s="50"/>
      <c r="D1034" s="50"/>
      <c r="E1034" s="50"/>
      <c r="F1034" s="50"/>
      <c r="G1034" s="280"/>
      <c r="H1034" s="293"/>
      <c r="I1034" s="292"/>
      <c r="J1034" s="292"/>
      <c r="K1034" s="200"/>
      <c r="L1034" s="200"/>
      <c r="M1034" s="89" t="str">
        <f>IFERROR(VLOOKUP(H1034,Lijsten!$H$1:$I$100,2,0),"")</f>
        <v/>
      </c>
      <c r="N1034" s="89" t="str" cm="1">
        <f t="array" ref="N1034">IFERROR(_xlfn.IFS(AND(LEFT(F1034,6)="Arbeid",RIGHT(F1034,3)&lt;&gt;"IKS"),IFERROR(VLOOKUP($G1034,Tb_KostenTypen[],2,0),"tarief"),RIGHT(F1034,3)="IKS","Uurtarief",LEFT(F1034,6)="Arbeid","Uurtarief",AND(LEFT(F1034,8)="Bijdrage",RIGHT(F1034,15)="(vrijwilligers)"),"Vast tarief"),"")</f>
        <v/>
      </c>
      <c r="O1034" s="90"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0"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1"/>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59"/>
      <c r="Z1034" s="49"/>
      <c r="AA1034" s="37" t="str" cm="1">
        <f t="array" ref="AA1034">IFERROR(IF(INDEX(SubsidieTabel!$Q$1:$T$9,MATCH($F1034,SubsidieTabel!$Q$1:$Q$9,0),IFERROR(MATCH(Methode_Keuze,SubsidieTabel!$Q$1:$T$1,0),2))&lt;&gt;1=TRUE,"ja",""),"")</f>
        <v/>
      </c>
    </row>
    <row r="1035" spans="1:27" ht="15" customHeight="1" x14ac:dyDescent="0.25">
      <c r="A1035" s="85"/>
      <c r="B1035" s="217" t="str">
        <f>IF(A1035&lt;&gt;"",_xlfn.MAXIFS($B$1:B1034,$A$1:A1034,A1035)+1,"")</f>
        <v/>
      </c>
      <c r="C1035" s="50"/>
      <c r="D1035" s="50"/>
      <c r="E1035" s="50"/>
      <c r="F1035" s="50"/>
      <c r="G1035" s="280"/>
      <c r="H1035" s="293"/>
      <c r="I1035" s="292"/>
      <c r="J1035" s="292"/>
      <c r="K1035" s="200"/>
      <c r="L1035" s="200"/>
      <c r="M1035" s="89" t="str">
        <f>IFERROR(VLOOKUP(H1035,Lijsten!$H$1:$I$100,2,0),"")</f>
        <v/>
      </c>
      <c r="N1035" s="89" t="str" cm="1">
        <f t="array" ref="N1035">IFERROR(_xlfn.IFS(AND(LEFT(F1035,6)="Arbeid",RIGHT(F1035,3)&lt;&gt;"IKS"),IFERROR(VLOOKUP($G1035,Tb_KostenTypen[],2,0),"tarief"),RIGHT(F1035,3)="IKS","Uurtarief",LEFT(F1035,6)="Arbeid","Uurtarief",AND(LEFT(F1035,8)="Bijdrage",RIGHT(F1035,15)="(vrijwilligers)"),"Vast tarief"),"")</f>
        <v/>
      </c>
      <c r="O1035" s="90"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0"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1"/>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59"/>
      <c r="Z1035" s="49"/>
      <c r="AA1035" s="37" t="str" cm="1">
        <f t="array" ref="AA1035">IFERROR(IF(INDEX(SubsidieTabel!$Q$1:$T$9,MATCH($F1035,SubsidieTabel!$Q$1:$Q$9,0),IFERROR(MATCH(Methode_Keuze,SubsidieTabel!$Q$1:$T$1,0),2))&lt;&gt;1=TRUE,"ja",""),"")</f>
        <v/>
      </c>
    </row>
    <row r="1036" spans="1:27" ht="15" customHeight="1" x14ac:dyDescent="0.25">
      <c r="A1036" s="85"/>
      <c r="B1036" s="217" t="str">
        <f>IF(A1036&lt;&gt;"",_xlfn.MAXIFS($B$1:B1035,$A$1:A1035,A1036)+1,"")</f>
        <v/>
      </c>
      <c r="C1036" s="50"/>
      <c r="D1036" s="50"/>
      <c r="E1036" s="50"/>
      <c r="F1036" s="50"/>
      <c r="G1036" s="280"/>
      <c r="H1036" s="293"/>
      <c r="I1036" s="292"/>
      <c r="J1036" s="292"/>
      <c r="K1036" s="200"/>
      <c r="L1036" s="200"/>
      <c r="M1036" s="89" t="str">
        <f>IFERROR(VLOOKUP(H1036,Lijsten!$H$1:$I$100,2,0),"")</f>
        <v/>
      </c>
      <c r="N1036" s="89" t="str" cm="1">
        <f t="array" ref="N1036">IFERROR(_xlfn.IFS(AND(LEFT(F1036,6)="Arbeid",RIGHT(F1036,3)&lt;&gt;"IKS"),IFERROR(VLOOKUP($G1036,Tb_KostenTypen[],2,0),"tarief"),RIGHT(F1036,3)="IKS","Uurtarief",LEFT(F1036,6)="Arbeid","Uurtarief",AND(LEFT(F1036,8)="Bijdrage",RIGHT(F1036,15)="(vrijwilligers)"),"Vast tarief"),"")</f>
        <v/>
      </c>
      <c r="O1036" s="90"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0"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1"/>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59"/>
      <c r="Z1036" s="49"/>
      <c r="AA1036" s="37" t="str" cm="1">
        <f t="array" ref="AA1036">IFERROR(IF(INDEX(SubsidieTabel!$Q$1:$T$9,MATCH($F1036,SubsidieTabel!$Q$1:$Q$9,0),IFERROR(MATCH(Methode_Keuze,SubsidieTabel!$Q$1:$T$1,0),2))&lt;&gt;1=TRUE,"ja",""),"")</f>
        <v/>
      </c>
    </row>
    <row r="1037" spans="1:27" ht="15" customHeight="1" x14ac:dyDescent="0.25">
      <c r="A1037" s="85"/>
      <c r="B1037" s="217" t="str">
        <f>IF(A1037&lt;&gt;"",_xlfn.MAXIFS($B$1:B1036,$A$1:A1036,A1037)+1,"")</f>
        <v/>
      </c>
      <c r="C1037" s="50"/>
      <c r="D1037" s="50"/>
      <c r="E1037" s="50"/>
      <c r="F1037" s="50"/>
      <c r="G1037" s="280"/>
      <c r="H1037" s="293"/>
      <c r="I1037" s="292"/>
      <c r="J1037" s="292"/>
      <c r="K1037" s="200"/>
      <c r="L1037" s="200"/>
      <c r="M1037" s="89" t="str">
        <f>IFERROR(VLOOKUP(H1037,Lijsten!$H$1:$I$100,2,0),"")</f>
        <v/>
      </c>
      <c r="N1037" s="89" t="str" cm="1">
        <f t="array" ref="N1037">IFERROR(_xlfn.IFS(AND(LEFT(F1037,6)="Arbeid",RIGHT(F1037,3)&lt;&gt;"IKS"),IFERROR(VLOOKUP($G1037,Tb_KostenTypen[],2,0),"tarief"),RIGHT(F1037,3)="IKS","Uurtarief",LEFT(F1037,6)="Arbeid","Uurtarief",AND(LEFT(F1037,8)="Bijdrage",RIGHT(F1037,15)="(vrijwilligers)"),"Vast tarief"),"")</f>
        <v/>
      </c>
      <c r="O1037" s="90"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0"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1"/>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59"/>
      <c r="Z1037" s="49"/>
      <c r="AA1037" s="37" t="str" cm="1">
        <f t="array" ref="AA1037">IFERROR(IF(INDEX(SubsidieTabel!$Q$1:$T$9,MATCH($F1037,SubsidieTabel!$Q$1:$Q$9,0),IFERROR(MATCH(Methode_Keuze,SubsidieTabel!$Q$1:$T$1,0),2))&lt;&gt;1=TRUE,"ja",""),"")</f>
        <v/>
      </c>
    </row>
    <row r="1038" spans="1:27" ht="15" customHeight="1" x14ac:dyDescent="0.25">
      <c r="A1038" s="85"/>
      <c r="B1038" s="217" t="str">
        <f>IF(A1038&lt;&gt;"",_xlfn.MAXIFS($B$1:B1037,$A$1:A1037,A1038)+1,"")</f>
        <v/>
      </c>
      <c r="C1038" s="50"/>
      <c r="D1038" s="50"/>
      <c r="E1038" s="50"/>
      <c r="F1038" s="50"/>
      <c r="G1038" s="280"/>
      <c r="H1038" s="293"/>
      <c r="I1038" s="292"/>
      <c r="J1038" s="292"/>
      <c r="K1038" s="200"/>
      <c r="L1038" s="200"/>
      <c r="M1038" s="89" t="str">
        <f>IFERROR(VLOOKUP(H1038,Lijsten!$H$1:$I$100,2,0),"")</f>
        <v/>
      </c>
      <c r="N1038" s="89" t="str" cm="1">
        <f t="array" ref="N1038">IFERROR(_xlfn.IFS(AND(LEFT(F1038,6)="Arbeid",RIGHT(F1038,3)&lt;&gt;"IKS"),IFERROR(VLOOKUP($G1038,Tb_KostenTypen[],2,0),"tarief"),RIGHT(F1038,3)="IKS","Uurtarief",LEFT(F1038,6)="Arbeid","Uurtarief",AND(LEFT(F1038,8)="Bijdrage",RIGHT(F1038,15)="(vrijwilligers)"),"Vast tarief"),"")</f>
        <v/>
      </c>
      <c r="O1038" s="90"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0"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1"/>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59"/>
      <c r="Z1038" s="49"/>
      <c r="AA1038" s="37" t="str" cm="1">
        <f t="array" ref="AA1038">IFERROR(IF(INDEX(SubsidieTabel!$Q$1:$T$9,MATCH($F1038,SubsidieTabel!$Q$1:$Q$9,0),IFERROR(MATCH(Methode_Keuze,SubsidieTabel!$Q$1:$T$1,0),2))&lt;&gt;1=TRUE,"ja",""),"")</f>
        <v/>
      </c>
    </row>
    <row r="1039" spans="1:27" ht="15" customHeight="1" x14ac:dyDescent="0.25">
      <c r="A1039" s="85"/>
      <c r="B1039" s="217" t="str">
        <f>IF(A1039&lt;&gt;"",_xlfn.MAXIFS($B$1:B1038,$A$1:A1038,A1039)+1,"")</f>
        <v/>
      </c>
      <c r="C1039" s="50"/>
      <c r="D1039" s="50"/>
      <c r="E1039" s="50"/>
      <c r="F1039" s="50"/>
      <c r="G1039" s="280"/>
      <c r="H1039" s="293"/>
      <c r="I1039" s="292"/>
      <c r="J1039" s="292"/>
      <c r="K1039" s="200"/>
      <c r="L1039" s="200"/>
      <c r="M1039" s="89" t="str">
        <f>IFERROR(VLOOKUP(H1039,Lijsten!$H$1:$I$100,2,0),"")</f>
        <v/>
      </c>
      <c r="N1039" s="89" t="str" cm="1">
        <f t="array" ref="N1039">IFERROR(_xlfn.IFS(AND(LEFT(F1039,6)="Arbeid",RIGHT(F1039,3)&lt;&gt;"IKS"),IFERROR(VLOOKUP($G1039,Tb_KostenTypen[],2,0),"tarief"),RIGHT(F1039,3)="IKS","Uurtarief",LEFT(F1039,6)="Arbeid","Uurtarief",AND(LEFT(F1039,8)="Bijdrage",RIGHT(F1039,15)="(vrijwilligers)"),"Vast tarief"),"")</f>
        <v/>
      </c>
      <c r="O1039" s="90"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0"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1"/>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59"/>
      <c r="Z1039" s="49"/>
      <c r="AA1039" s="37" t="str" cm="1">
        <f t="array" ref="AA1039">IFERROR(IF(INDEX(SubsidieTabel!$Q$1:$T$9,MATCH($F1039,SubsidieTabel!$Q$1:$Q$9,0),IFERROR(MATCH(Methode_Keuze,SubsidieTabel!$Q$1:$T$1,0),2))&lt;&gt;1=TRUE,"ja",""),"")</f>
        <v/>
      </c>
    </row>
    <row r="1040" spans="1:27" ht="15" customHeight="1" x14ac:dyDescent="0.25">
      <c r="A1040" s="85"/>
      <c r="B1040" s="217" t="str">
        <f>IF(A1040&lt;&gt;"",_xlfn.MAXIFS($B$1:B1039,$A$1:A1039,A1040)+1,"")</f>
        <v/>
      </c>
      <c r="C1040" s="50"/>
      <c r="D1040" s="50"/>
      <c r="E1040" s="50"/>
      <c r="F1040" s="50"/>
      <c r="G1040" s="280"/>
      <c r="H1040" s="293"/>
      <c r="I1040" s="292"/>
      <c r="J1040" s="292"/>
      <c r="K1040" s="200"/>
      <c r="L1040" s="200"/>
      <c r="M1040" s="89" t="str">
        <f>IFERROR(VLOOKUP(H1040,Lijsten!$H$1:$I$100,2,0),"")</f>
        <v/>
      </c>
      <c r="N1040" s="89" t="str" cm="1">
        <f t="array" ref="N1040">IFERROR(_xlfn.IFS(AND(LEFT(F1040,6)="Arbeid",RIGHT(F1040,3)&lt;&gt;"IKS"),IFERROR(VLOOKUP($G1040,Tb_KostenTypen[],2,0),"tarief"),RIGHT(F1040,3)="IKS","Uurtarief",LEFT(F1040,6)="Arbeid","Uurtarief",AND(LEFT(F1040,8)="Bijdrage",RIGHT(F1040,15)="(vrijwilligers)"),"Vast tarief"),"")</f>
        <v/>
      </c>
      <c r="O1040" s="90"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0"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1"/>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59"/>
      <c r="Z1040" s="49"/>
      <c r="AA1040" s="37" t="str" cm="1">
        <f t="array" ref="AA1040">IFERROR(IF(INDEX(SubsidieTabel!$Q$1:$T$9,MATCH($F1040,SubsidieTabel!$Q$1:$Q$9,0),IFERROR(MATCH(Methode_Keuze,SubsidieTabel!$Q$1:$T$1,0),2))&lt;&gt;1=TRUE,"ja",""),"")</f>
        <v/>
      </c>
    </row>
    <row r="1041" spans="1:27" ht="15" customHeight="1" x14ac:dyDescent="0.25">
      <c r="A1041" s="85"/>
      <c r="B1041" s="217" t="str">
        <f>IF(A1041&lt;&gt;"",_xlfn.MAXIFS($B$1:B1040,$A$1:A1040,A1041)+1,"")</f>
        <v/>
      </c>
      <c r="C1041" s="50"/>
      <c r="D1041" s="50"/>
      <c r="E1041" s="50"/>
      <c r="F1041" s="50"/>
      <c r="G1041" s="280"/>
      <c r="H1041" s="293"/>
      <c r="I1041" s="292"/>
      <c r="J1041" s="292"/>
      <c r="K1041" s="200"/>
      <c r="L1041" s="200"/>
      <c r="M1041" s="89" t="str">
        <f>IFERROR(VLOOKUP(H1041,Lijsten!$H$1:$I$100,2,0),"")</f>
        <v/>
      </c>
      <c r="N1041" s="89" t="str" cm="1">
        <f t="array" ref="N1041">IFERROR(_xlfn.IFS(AND(LEFT(F1041,6)="Arbeid",RIGHT(F1041,3)&lt;&gt;"IKS"),IFERROR(VLOOKUP($G1041,Tb_KostenTypen[],2,0),"tarief"),RIGHT(F1041,3)="IKS","Uurtarief",LEFT(F1041,6)="Arbeid","Uurtarief",AND(LEFT(F1041,8)="Bijdrage",RIGHT(F1041,15)="(vrijwilligers)"),"Vast tarief"),"")</f>
        <v/>
      </c>
      <c r="O1041" s="90"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0"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1"/>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59"/>
      <c r="Z1041" s="49"/>
      <c r="AA1041" s="37" t="str" cm="1">
        <f t="array" ref="AA1041">IFERROR(IF(INDEX(SubsidieTabel!$Q$1:$T$9,MATCH($F1041,SubsidieTabel!$Q$1:$Q$9,0),IFERROR(MATCH(Methode_Keuze,SubsidieTabel!$Q$1:$T$1,0),2))&lt;&gt;1=TRUE,"ja",""),"")</f>
        <v/>
      </c>
    </row>
    <row r="1042" spans="1:27" ht="15" customHeight="1" x14ac:dyDescent="0.25">
      <c r="A1042" s="85"/>
      <c r="B1042" s="217" t="str">
        <f>IF(A1042&lt;&gt;"",_xlfn.MAXIFS($B$1:B1041,$A$1:A1041,A1042)+1,"")</f>
        <v/>
      </c>
      <c r="C1042" s="50"/>
      <c r="D1042" s="50"/>
      <c r="E1042" s="50"/>
      <c r="F1042" s="50"/>
      <c r="G1042" s="280"/>
      <c r="H1042" s="293"/>
      <c r="I1042" s="292"/>
      <c r="J1042" s="292"/>
      <c r="K1042" s="200"/>
      <c r="L1042" s="200"/>
      <c r="M1042" s="89" t="str">
        <f>IFERROR(VLOOKUP(H1042,Lijsten!$H$1:$I$100,2,0),"")</f>
        <v/>
      </c>
      <c r="N1042" s="89" t="str" cm="1">
        <f t="array" ref="N1042">IFERROR(_xlfn.IFS(AND(LEFT(F1042,6)="Arbeid",RIGHT(F1042,3)&lt;&gt;"IKS"),IFERROR(VLOOKUP($G1042,Tb_KostenTypen[],2,0),"tarief"),RIGHT(F1042,3)="IKS","Uurtarief",LEFT(F1042,6)="Arbeid","Uurtarief",AND(LEFT(F1042,8)="Bijdrage",RIGHT(F1042,15)="(vrijwilligers)"),"Vast tarief"),"")</f>
        <v/>
      </c>
      <c r="O1042" s="90"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0"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1"/>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59"/>
      <c r="Z1042" s="49"/>
      <c r="AA1042" s="37" t="str" cm="1">
        <f t="array" ref="AA1042">IFERROR(IF(INDEX(SubsidieTabel!$Q$1:$T$9,MATCH($F1042,SubsidieTabel!$Q$1:$Q$9,0),IFERROR(MATCH(Methode_Keuze,SubsidieTabel!$Q$1:$T$1,0),2))&lt;&gt;1=TRUE,"ja",""),"")</f>
        <v/>
      </c>
    </row>
    <row r="1043" spans="1:27" ht="15" customHeight="1" x14ac:dyDescent="0.25">
      <c r="A1043" s="85"/>
      <c r="B1043" s="217" t="str">
        <f>IF(A1043&lt;&gt;"",_xlfn.MAXIFS($B$1:B1042,$A$1:A1042,A1043)+1,"")</f>
        <v/>
      </c>
      <c r="C1043" s="50"/>
      <c r="D1043" s="50"/>
      <c r="E1043" s="50"/>
      <c r="F1043" s="50"/>
      <c r="G1043" s="280"/>
      <c r="H1043" s="293"/>
      <c r="I1043" s="292"/>
      <c r="J1043" s="292"/>
      <c r="K1043" s="200"/>
      <c r="L1043" s="200"/>
      <c r="M1043" s="89" t="str">
        <f>IFERROR(VLOOKUP(H1043,Lijsten!$H$1:$I$100,2,0),"")</f>
        <v/>
      </c>
      <c r="N1043" s="89" t="str" cm="1">
        <f t="array" ref="N1043">IFERROR(_xlfn.IFS(AND(LEFT(F1043,6)="Arbeid",RIGHT(F1043,3)&lt;&gt;"IKS"),IFERROR(VLOOKUP($G1043,Tb_KostenTypen[],2,0),"tarief"),RIGHT(F1043,3)="IKS","Uurtarief",LEFT(F1043,6)="Arbeid","Uurtarief",AND(LEFT(F1043,8)="Bijdrage",RIGHT(F1043,15)="(vrijwilligers)"),"Vast tarief"),"")</f>
        <v/>
      </c>
      <c r="O1043" s="90"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0"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1"/>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59"/>
      <c r="Z1043" s="49"/>
      <c r="AA1043" s="37" t="str" cm="1">
        <f t="array" ref="AA1043">IFERROR(IF(INDEX(SubsidieTabel!$Q$1:$T$9,MATCH($F1043,SubsidieTabel!$Q$1:$Q$9,0),IFERROR(MATCH(Methode_Keuze,SubsidieTabel!$Q$1:$T$1,0),2))&lt;&gt;1=TRUE,"ja",""),"")</f>
        <v/>
      </c>
    </row>
    <row r="1044" spans="1:27" ht="15" customHeight="1" x14ac:dyDescent="0.25">
      <c r="A1044" s="85"/>
      <c r="B1044" s="217" t="str">
        <f>IF(A1044&lt;&gt;"",_xlfn.MAXIFS($B$1:B1043,$A$1:A1043,A1044)+1,"")</f>
        <v/>
      </c>
      <c r="C1044" s="50"/>
      <c r="D1044" s="50"/>
      <c r="E1044" s="50"/>
      <c r="F1044" s="50"/>
      <c r="G1044" s="280"/>
      <c r="H1044" s="293"/>
      <c r="I1044" s="292"/>
      <c r="J1044" s="292"/>
      <c r="K1044" s="200"/>
      <c r="L1044" s="200"/>
      <c r="M1044" s="89" t="str">
        <f>IFERROR(VLOOKUP(H1044,Lijsten!$H$1:$I$100,2,0),"")</f>
        <v/>
      </c>
      <c r="N1044" s="89" t="str" cm="1">
        <f t="array" ref="N1044">IFERROR(_xlfn.IFS(AND(LEFT(F1044,6)="Arbeid",RIGHT(F1044,3)&lt;&gt;"IKS"),IFERROR(VLOOKUP($G1044,Tb_KostenTypen[],2,0),"tarief"),RIGHT(F1044,3)="IKS","Uurtarief",LEFT(F1044,6)="Arbeid","Uurtarief",AND(LEFT(F1044,8)="Bijdrage",RIGHT(F1044,15)="(vrijwilligers)"),"Vast tarief"),"")</f>
        <v/>
      </c>
      <c r="O1044" s="90"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0"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1"/>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59"/>
      <c r="Z1044" s="49"/>
      <c r="AA1044" s="37" t="str" cm="1">
        <f t="array" ref="AA1044">IFERROR(IF(INDEX(SubsidieTabel!$Q$1:$T$9,MATCH($F1044,SubsidieTabel!$Q$1:$Q$9,0),IFERROR(MATCH(Methode_Keuze,SubsidieTabel!$Q$1:$T$1,0),2))&lt;&gt;1=TRUE,"ja",""),"")</f>
        <v/>
      </c>
    </row>
    <row r="1045" spans="1:27" ht="15" customHeight="1" x14ac:dyDescent="0.25">
      <c r="A1045" s="85"/>
      <c r="B1045" s="217" t="str">
        <f>IF(A1045&lt;&gt;"",_xlfn.MAXIFS($B$1:B1044,$A$1:A1044,A1045)+1,"")</f>
        <v/>
      </c>
      <c r="C1045" s="50"/>
      <c r="D1045" s="50"/>
      <c r="E1045" s="50"/>
      <c r="F1045" s="50"/>
      <c r="G1045" s="280"/>
      <c r="H1045" s="293"/>
      <c r="I1045" s="292"/>
      <c r="J1045" s="292"/>
      <c r="K1045" s="200"/>
      <c r="L1045" s="200"/>
      <c r="M1045" s="89" t="str">
        <f>IFERROR(VLOOKUP(H1045,Lijsten!$H$1:$I$100,2,0),"")</f>
        <v/>
      </c>
      <c r="N1045" s="89" t="str" cm="1">
        <f t="array" ref="N1045">IFERROR(_xlfn.IFS(AND(LEFT(F1045,6)="Arbeid",RIGHT(F1045,3)&lt;&gt;"IKS"),IFERROR(VLOOKUP($G1045,Tb_KostenTypen[],2,0),"tarief"),RIGHT(F1045,3)="IKS","Uurtarief",LEFT(F1045,6)="Arbeid","Uurtarief",AND(LEFT(F1045,8)="Bijdrage",RIGHT(F1045,15)="(vrijwilligers)"),"Vast tarief"),"")</f>
        <v/>
      </c>
      <c r="O1045" s="90"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0"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1"/>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59"/>
      <c r="Z1045" s="49"/>
      <c r="AA1045" s="37" t="str" cm="1">
        <f t="array" ref="AA1045">IFERROR(IF(INDEX(SubsidieTabel!$Q$1:$T$9,MATCH($F1045,SubsidieTabel!$Q$1:$Q$9,0),IFERROR(MATCH(Methode_Keuze,SubsidieTabel!$Q$1:$T$1,0),2))&lt;&gt;1=TRUE,"ja",""),"")</f>
        <v/>
      </c>
    </row>
    <row r="1046" spans="1:27" ht="15" customHeight="1" x14ac:dyDescent="0.25">
      <c r="A1046" s="85"/>
      <c r="B1046" s="217" t="str">
        <f>IF(A1046&lt;&gt;"",_xlfn.MAXIFS($B$1:B1045,$A$1:A1045,A1046)+1,"")</f>
        <v/>
      </c>
      <c r="C1046" s="50"/>
      <c r="D1046" s="50"/>
      <c r="E1046" s="50"/>
      <c r="F1046" s="50"/>
      <c r="G1046" s="280"/>
      <c r="H1046" s="293"/>
      <c r="I1046" s="292"/>
      <c r="J1046" s="292"/>
      <c r="K1046" s="200"/>
      <c r="L1046" s="200"/>
      <c r="M1046" s="89" t="str">
        <f>IFERROR(VLOOKUP(H1046,Lijsten!$H$1:$I$100,2,0),"")</f>
        <v/>
      </c>
      <c r="N1046" s="89" t="str" cm="1">
        <f t="array" ref="N1046">IFERROR(_xlfn.IFS(AND(LEFT(F1046,6)="Arbeid",RIGHT(F1046,3)&lt;&gt;"IKS"),IFERROR(VLOOKUP($G1046,Tb_KostenTypen[],2,0),"tarief"),RIGHT(F1046,3)="IKS","Uurtarief",LEFT(F1046,6)="Arbeid","Uurtarief",AND(LEFT(F1046,8)="Bijdrage",RIGHT(F1046,15)="(vrijwilligers)"),"Vast tarief"),"")</f>
        <v/>
      </c>
      <c r="O1046" s="90"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0"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1"/>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59"/>
      <c r="Z1046" s="49"/>
      <c r="AA1046" s="37" t="str" cm="1">
        <f t="array" ref="AA1046">IFERROR(IF(INDEX(SubsidieTabel!$Q$1:$T$9,MATCH($F1046,SubsidieTabel!$Q$1:$Q$9,0),IFERROR(MATCH(Methode_Keuze,SubsidieTabel!$Q$1:$T$1,0),2))&lt;&gt;1=TRUE,"ja",""),"")</f>
        <v/>
      </c>
    </row>
    <row r="1047" spans="1:27" ht="15" customHeight="1" x14ac:dyDescent="0.25">
      <c r="A1047" s="85"/>
      <c r="B1047" s="217" t="str">
        <f>IF(A1047&lt;&gt;"",_xlfn.MAXIFS($B$1:B1046,$A$1:A1046,A1047)+1,"")</f>
        <v/>
      </c>
      <c r="C1047" s="50"/>
      <c r="D1047" s="50"/>
      <c r="E1047" s="50"/>
      <c r="F1047" s="50"/>
      <c r="G1047" s="280"/>
      <c r="H1047" s="293"/>
      <c r="I1047" s="292"/>
      <c r="J1047" s="292"/>
      <c r="K1047" s="200"/>
      <c r="L1047" s="200"/>
      <c r="M1047" s="89" t="str">
        <f>IFERROR(VLOOKUP(H1047,Lijsten!$H$1:$I$100,2,0),"")</f>
        <v/>
      </c>
      <c r="N1047" s="89" t="str" cm="1">
        <f t="array" ref="N1047">IFERROR(_xlfn.IFS(AND(LEFT(F1047,6)="Arbeid",RIGHT(F1047,3)&lt;&gt;"IKS"),IFERROR(VLOOKUP($G1047,Tb_KostenTypen[],2,0),"tarief"),RIGHT(F1047,3)="IKS","Uurtarief",LEFT(F1047,6)="Arbeid","Uurtarief",AND(LEFT(F1047,8)="Bijdrage",RIGHT(F1047,15)="(vrijwilligers)"),"Vast tarief"),"")</f>
        <v/>
      </c>
      <c r="O1047" s="90"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0"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1"/>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59"/>
      <c r="Z1047" s="49"/>
      <c r="AA1047" s="37" t="str" cm="1">
        <f t="array" ref="AA1047">IFERROR(IF(INDEX(SubsidieTabel!$Q$1:$T$9,MATCH($F1047,SubsidieTabel!$Q$1:$Q$9,0),IFERROR(MATCH(Methode_Keuze,SubsidieTabel!$Q$1:$T$1,0),2))&lt;&gt;1=TRUE,"ja",""),"")</f>
        <v/>
      </c>
    </row>
    <row r="1048" spans="1:27" ht="15" customHeight="1" x14ac:dyDescent="0.25">
      <c r="A1048" s="85"/>
      <c r="B1048" s="217" t="str">
        <f>IF(A1048&lt;&gt;"",_xlfn.MAXIFS($B$1:B1047,$A$1:A1047,A1048)+1,"")</f>
        <v/>
      </c>
      <c r="C1048" s="50"/>
      <c r="D1048" s="50"/>
      <c r="E1048" s="50"/>
      <c r="F1048" s="50"/>
      <c r="G1048" s="280"/>
      <c r="H1048" s="293"/>
      <c r="I1048" s="292"/>
      <c r="J1048" s="292"/>
      <c r="K1048" s="200"/>
      <c r="L1048" s="200"/>
      <c r="M1048" s="89" t="str">
        <f>IFERROR(VLOOKUP(H1048,Lijsten!$H$1:$I$100,2,0),"")</f>
        <v/>
      </c>
      <c r="N1048" s="89" t="str" cm="1">
        <f t="array" ref="N1048">IFERROR(_xlfn.IFS(AND(LEFT(F1048,6)="Arbeid",RIGHT(F1048,3)&lt;&gt;"IKS"),IFERROR(VLOOKUP($G1048,Tb_KostenTypen[],2,0),"tarief"),RIGHT(F1048,3)="IKS","Uurtarief",LEFT(F1048,6)="Arbeid","Uurtarief",AND(LEFT(F1048,8)="Bijdrage",RIGHT(F1048,15)="(vrijwilligers)"),"Vast tarief"),"")</f>
        <v/>
      </c>
      <c r="O1048" s="90"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0"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1"/>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59"/>
      <c r="Z1048" s="49"/>
      <c r="AA1048" s="37" t="str" cm="1">
        <f t="array" ref="AA1048">IFERROR(IF(INDEX(SubsidieTabel!$Q$1:$T$9,MATCH($F1048,SubsidieTabel!$Q$1:$Q$9,0),IFERROR(MATCH(Methode_Keuze,SubsidieTabel!$Q$1:$T$1,0),2))&lt;&gt;1=TRUE,"ja",""),"")</f>
        <v/>
      </c>
    </row>
    <row r="1049" spans="1:27" ht="15" customHeight="1" x14ac:dyDescent="0.25">
      <c r="A1049" s="85"/>
      <c r="B1049" s="217" t="str">
        <f>IF(A1049&lt;&gt;"",_xlfn.MAXIFS($B$1:B1048,$A$1:A1048,A1049)+1,"")</f>
        <v/>
      </c>
      <c r="C1049" s="50"/>
      <c r="D1049" s="50"/>
      <c r="E1049" s="50"/>
      <c r="F1049" s="50"/>
      <c r="G1049" s="280"/>
      <c r="H1049" s="293"/>
      <c r="I1049" s="292"/>
      <c r="J1049" s="292"/>
      <c r="K1049" s="200"/>
      <c r="L1049" s="200"/>
      <c r="M1049" s="89" t="str">
        <f>IFERROR(VLOOKUP(H1049,Lijsten!$H$1:$I$100,2,0),"")</f>
        <v/>
      </c>
      <c r="N1049" s="89" t="str" cm="1">
        <f t="array" ref="N1049">IFERROR(_xlfn.IFS(AND(LEFT(F1049,6)="Arbeid",RIGHT(F1049,3)&lt;&gt;"IKS"),IFERROR(VLOOKUP($G1049,Tb_KostenTypen[],2,0),"tarief"),RIGHT(F1049,3)="IKS","Uurtarief",LEFT(F1049,6)="Arbeid","Uurtarief",AND(LEFT(F1049,8)="Bijdrage",RIGHT(F1049,15)="(vrijwilligers)"),"Vast tarief"),"")</f>
        <v/>
      </c>
      <c r="O1049" s="90"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0"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1"/>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59"/>
      <c r="Z1049" s="49"/>
      <c r="AA1049" s="37" t="str" cm="1">
        <f t="array" ref="AA1049">IFERROR(IF(INDEX(SubsidieTabel!$Q$1:$T$9,MATCH($F1049,SubsidieTabel!$Q$1:$Q$9,0),IFERROR(MATCH(Methode_Keuze,SubsidieTabel!$Q$1:$T$1,0),2))&lt;&gt;1=TRUE,"ja",""),"")</f>
        <v/>
      </c>
    </row>
    <row r="1050" spans="1:27" ht="15" customHeight="1" x14ac:dyDescent="0.25">
      <c r="A1050" s="85"/>
      <c r="B1050" s="217" t="str">
        <f>IF(A1050&lt;&gt;"",_xlfn.MAXIFS($B$1:B1049,$A$1:A1049,A1050)+1,"")</f>
        <v/>
      </c>
      <c r="C1050" s="50"/>
      <c r="D1050" s="50"/>
      <c r="E1050" s="50"/>
      <c r="F1050" s="50"/>
      <c r="G1050" s="280"/>
      <c r="H1050" s="293"/>
      <c r="I1050" s="292"/>
      <c r="J1050" s="292"/>
      <c r="K1050" s="200"/>
      <c r="L1050" s="200"/>
      <c r="M1050" s="89" t="str">
        <f>IFERROR(VLOOKUP(H1050,Lijsten!$H$1:$I$100,2,0),"")</f>
        <v/>
      </c>
      <c r="N1050" s="89" t="str" cm="1">
        <f t="array" ref="N1050">IFERROR(_xlfn.IFS(AND(LEFT(F1050,6)="Arbeid",RIGHT(F1050,3)&lt;&gt;"IKS"),IFERROR(VLOOKUP($G1050,Tb_KostenTypen[],2,0),"tarief"),RIGHT(F1050,3)="IKS","Uurtarief",LEFT(F1050,6)="Arbeid","Uurtarief",AND(LEFT(F1050,8)="Bijdrage",RIGHT(F1050,15)="(vrijwilligers)"),"Vast tarief"),"")</f>
        <v/>
      </c>
      <c r="O1050" s="90"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0"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1"/>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59"/>
      <c r="Z1050" s="49"/>
      <c r="AA1050" s="37" t="str" cm="1">
        <f t="array" ref="AA1050">IFERROR(IF(INDEX(SubsidieTabel!$Q$1:$T$9,MATCH($F1050,SubsidieTabel!$Q$1:$Q$9,0),IFERROR(MATCH(Methode_Keuze,SubsidieTabel!$Q$1:$T$1,0),2))&lt;&gt;1=TRUE,"ja",""),"")</f>
        <v/>
      </c>
    </row>
    <row r="1051" spans="1:27" ht="15" customHeight="1" x14ac:dyDescent="0.25">
      <c r="A1051" s="85"/>
      <c r="B1051" s="217" t="str">
        <f>IF(A1051&lt;&gt;"",_xlfn.MAXIFS($B$1:B1050,$A$1:A1050,A1051)+1,"")</f>
        <v/>
      </c>
      <c r="C1051" s="50"/>
      <c r="D1051" s="50"/>
      <c r="E1051" s="50"/>
      <c r="F1051" s="50"/>
      <c r="G1051" s="280"/>
      <c r="H1051" s="293"/>
      <c r="I1051" s="292"/>
      <c r="J1051" s="292"/>
      <c r="K1051" s="200"/>
      <c r="L1051" s="200"/>
      <c r="M1051" s="89" t="str">
        <f>IFERROR(VLOOKUP(H1051,Lijsten!$H$1:$I$100,2,0),"")</f>
        <v/>
      </c>
      <c r="N1051" s="89" t="str" cm="1">
        <f t="array" ref="N1051">IFERROR(_xlfn.IFS(AND(LEFT(F1051,6)="Arbeid",RIGHT(F1051,3)&lt;&gt;"IKS"),IFERROR(VLOOKUP($G1051,Tb_KostenTypen[],2,0),"tarief"),RIGHT(F1051,3)="IKS","Uurtarief",LEFT(F1051,6)="Arbeid","Uurtarief",AND(LEFT(F1051,8)="Bijdrage",RIGHT(F1051,15)="(vrijwilligers)"),"Vast tarief"),"")</f>
        <v/>
      </c>
      <c r="O1051" s="90"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0"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1"/>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59"/>
      <c r="Z1051" s="49"/>
      <c r="AA1051" s="37" t="str" cm="1">
        <f t="array" ref="AA1051">IFERROR(IF(INDEX(SubsidieTabel!$Q$1:$T$9,MATCH($F1051,SubsidieTabel!$Q$1:$Q$9,0),IFERROR(MATCH(Methode_Keuze,SubsidieTabel!$Q$1:$T$1,0),2))&lt;&gt;1=TRUE,"ja",""),"")</f>
        <v/>
      </c>
    </row>
    <row r="1052" spans="1:27" ht="15" customHeight="1" x14ac:dyDescent="0.25">
      <c r="A1052" s="85"/>
      <c r="B1052" s="217" t="str">
        <f>IF(A1052&lt;&gt;"",_xlfn.MAXIFS($B$1:B1051,$A$1:A1051,A1052)+1,"")</f>
        <v/>
      </c>
      <c r="C1052" s="50"/>
      <c r="D1052" s="50"/>
      <c r="E1052" s="50"/>
      <c r="F1052" s="50"/>
      <c r="G1052" s="280"/>
      <c r="H1052" s="293"/>
      <c r="I1052" s="292"/>
      <c r="J1052" s="292"/>
      <c r="K1052" s="200"/>
      <c r="L1052" s="200"/>
      <c r="M1052" s="89" t="str">
        <f>IFERROR(VLOOKUP(H1052,Lijsten!$H$1:$I$100,2,0),"")</f>
        <v/>
      </c>
      <c r="N1052" s="89" t="str" cm="1">
        <f t="array" ref="N1052">IFERROR(_xlfn.IFS(AND(LEFT(F1052,6)="Arbeid",RIGHT(F1052,3)&lt;&gt;"IKS"),IFERROR(VLOOKUP($G1052,Tb_KostenTypen[],2,0),"tarief"),RIGHT(F1052,3)="IKS","Uurtarief",LEFT(F1052,6)="Arbeid","Uurtarief",AND(LEFT(F1052,8)="Bijdrage",RIGHT(F1052,15)="(vrijwilligers)"),"Vast tarief"),"")</f>
        <v/>
      </c>
      <c r="O1052" s="90"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0"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1"/>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59"/>
      <c r="Z1052" s="49"/>
      <c r="AA1052" s="37" t="str" cm="1">
        <f t="array" ref="AA1052">IFERROR(IF(INDEX(SubsidieTabel!$Q$1:$T$9,MATCH($F1052,SubsidieTabel!$Q$1:$Q$9,0),IFERROR(MATCH(Methode_Keuze,SubsidieTabel!$Q$1:$T$1,0),2))&lt;&gt;1=TRUE,"ja",""),"")</f>
        <v/>
      </c>
    </row>
    <row r="1053" spans="1:27" ht="15" customHeight="1" x14ac:dyDescent="0.25">
      <c r="A1053" s="85"/>
      <c r="B1053" s="217" t="str">
        <f>IF(A1053&lt;&gt;"",_xlfn.MAXIFS($B$1:B1052,$A$1:A1052,A1053)+1,"")</f>
        <v/>
      </c>
      <c r="C1053" s="50"/>
      <c r="D1053" s="50"/>
      <c r="E1053" s="50"/>
      <c r="F1053" s="50"/>
      <c r="G1053" s="280"/>
      <c r="H1053" s="293"/>
      <c r="I1053" s="292"/>
      <c r="J1053" s="292"/>
      <c r="K1053" s="200"/>
      <c r="L1053" s="200"/>
      <c r="M1053" s="89" t="str">
        <f>IFERROR(VLOOKUP(H1053,Lijsten!$H$1:$I$100,2,0),"")</f>
        <v/>
      </c>
      <c r="N1053" s="89" t="str" cm="1">
        <f t="array" ref="N1053">IFERROR(_xlfn.IFS(AND(LEFT(F1053,6)="Arbeid",RIGHT(F1053,3)&lt;&gt;"IKS"),IFERROR(VLOOKUP($G1053,Tb_KostenTypen[],2,0),"tarief"),RIGHT(F1053,3)="IKS","Uurtarief",LEFT(F1053,6)="Arbeid","Uurtarief",AND(LEFT(F1053,8)="Bijdrage",RIGHT(F1053,15)="(vrijwilligers)"),"Vast tarief"),"")</f>
        <v/>
      </c>
      <c r="O1053" s="90"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0"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1"/>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59"/>
      <c r="Z1053" s="49"/>
      <c r="AA1053" s="37" t="str" cm="1">
        <f t="array" ref="AA1053">IFERROR(IF(INDEX(SubsidieTabel!$Q$1:$T$9,MATCH($F1053,SubsidieTabel!$Q$1:$Q$9,0),IFERROR(MATCH(Methode_Keuze,SubsidieTabel!$Q$1:$T$1,0),2))&lt;&gt;1=TRUE,"ja",""),"")</f>
        <v/>
      </c>
    </row>
    <row r="1054" spans="1:27" ht="15" customHeight="1" x14ac:dyDescent="0.25">
      <c r="A1054" s="85"/>
      <c r="B1054" s="217" t="str">
        <f>IF(A1054&lt;&gt;"",_xlfn.MAXIFS($B$1:B1053,$A$1:A1053,A1054)+1,"")</f>
        <v/>
      </c>
      <c r="C1054" s="50"/>
      <c r="D1054" s="50"/>
      <c r="E1054" s="50"/>
      <c r="F1054" s="50"/>
      <c r="G1054" s="280"/>
      <c r="H1054" s="293"/>
      <c r="I1054" s="292"/>
      <c r="J1054" s="292"/>
      <c r="K1054" s="200"/>
      <c r="L1054" s="200"/>
      <c r="M1054" s="89" t="str">
        <f>IFERROR(VLOOKUP(H1054,Lijsten!$H$1:$I$100,2,0),"")</f>
        <v/>
      </c>
      <c r="N1054" s="89" t="str" cm="1">
        <f t="array" ref="N1054">IFERROR(_xlfn.IFS(AND(LEFT(F1054,6)="Arbeid",RIGHT(F1054,3)&lt;&gt;"IKS"),IFERROR(VLOOKUP($G1054,Tb_KostenTypen[],2,0),"tarief"),RIGHT(F1054,3)="IKS","Uurtarief",LEFT(F1054,6)="Arbeid","Uurtarief",AND(LEFT(F1054,8)="Bijdrage",RIGHT(F1054,15)="(vrijwilligers)"),"Vast tarief"),"")</f>
        <v/>
      </c>
      <c r="O1054" s="90"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0"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1"/>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59"/>
      <c r="Z1054" s="49"/>
      <c r="AA1054" s="37" t="str" cm="1">
        <f t="array" ref="AA1054">IFERROR(IF(INDEX(SubsidieTabel!$Q$1:$T$9,MATCH($F1054,SubsidieTabel!$Q$1:$Q$9,0),IFERROR(MATCH(Methode_Keuze,SubsidieTabel!$Q$1:$T$1,0),2))&lt;&gt;1=TRUE,"ja",""),"")</f>
        <v/>
      </c>
    </row>
    <row r="1055" spans="1:27" ht="15" customHeight="1" x14ac:dyDescent="0.25">
      <c r="A1055" s="85"/>
      <c r="B1055" s="217" t="str">
        <f>IF(A1055&lt;&gt;"",_xlfn.MAXIFS($B$1:B1054,$A$1:A1054,A1055)+1,"")</f>
        <v/>
      </c>
      <c r="C1055" s="50"/>
      <c r="D1055" s="50"/>
      <c r="E1055" s="50"/>
      <c r="F1055" s="50"/>
      <c r="G1055" s="280"/>
      <c r="H1055" s="293"/>
      <c r="I1055" s="292"/>
      <c r="J1055" s="292"/>
      <c r="K1055" s="200"/>
      <c r="L1055" s="200"/>
      <c r="M1055" s="89" t="str">
        <f>IFERROR(VLOOKUP(H1055,Lijsten!$H$1:$I$100,2,0),"")</f>
        <v/>
      </c>
      <c r="N1055" s="89" t="str" cm="1">
        <f t="array" ref="N1055">IFERROR(_xlfn.IFS(AND(LEFT(F1055,6)="Arbeid",RIGHT(F1055,3)&lt;&gt;"IKS"),IFERROR(VLOOKUP($G1055,Tb_KostenTypen[],2,0),"tarief"),RIGHT(F1055,3)="IKS","Uurtarief",LEFT(F1055,6)="Arbeid","Uurtarief",AND(LEFT(F1055,8)="Bijdrage",RIGHT(F1055,15)="(vrijwilligers)"),"Vast tarief"),"")</f>
        <v/>
      </c>
      <c r="O1055" s="90"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0"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1"/>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59"/>
      <c r="Z1055" s="49"/>
      <c r="AA1055" s="37" t="str" cm="1">
        <f t="array" ref="AA1055">IFERROR(IF(INDEX(SubsidieTabel!$Q$1:$T$9,MATCH($F1055,SubsidieTabel!$Q$1:$Q$9,0),IFERROR(MATCH(Methode_Keuze,SubsidieTabel!$Q$1:$T$1,0),2))&lt;&gt;1=TRUE,"ja",""),"")</f>
        <v/>
      </c>
    </row>
    <row r="1056" spans="1:27" ht="15" customHeight="1" x14ac:dyDescent="0.25">
      <c r="A1056" s="85"/>
      <c r="B1056" s="217" t="str">
        <f>IF(A1056&lt;&gt;"",_xlfn.MAXIFS($B$1:B1055,$A$1:A1055,A1056)+1,"")</f>
        <v/>
      </c>
      <c r="C1056" s="50"/>
      <c r="D1056" s="50"/>
      <c r="E1056" s="50"/>
      <c r="F1056" s="50"/>
      <c r="G1056" s="280"/>
      <c r="H1056" s="293"/>
      <c r="I1056" s="292"/>
      <c r="J1056" s="292"/>
      <c r="K1056" s="200"/>
      <c r="L1056" s="200"/>
      <c r="M1056" s="89" t="str">
        <f>IFERROR(VLOOKUP(H1056,Lijsten!$H$1:$I$100,2,0),"")</f>
        <v/>
      </c>
      <c r="N1056" s="89" t="str" cm="1">
        <f t="array" ref="N1056">IFERROR(_xlfn.IFS(AND(LEFT(F1056,6)="Arbeid",RIGHT(F1056,3)&lt;&gt;"IKS"),IFERROR(VLOOKUP($G1056,Tb_KostenTypen[],2,0),"tarief"),RIGHT(F1056,3)="IKS","Uurtarief",LEFT(F1056,6)="Arbeid","Uurtarief",AND(LEFT(F1056,8)="Bijdrage",RIGHT(F1056,15)="(vrijwilligers)"),"Vast tarief"),"")</f>
        <v/>
      </c>
      <c r="O1056" s="90"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0"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1"/>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59"/>
      <c r="Z1056" s="49"/>
      <c r="AA1056" s="37" t="str" cm="1">
        <f t="array" ref="AA1056">IFERROR(IF(INDEX(SubsidieTabel!$Q$1:$T$9,MATCH($F1056,SubsidieTabel!$Q$1:$Q$9,0),IFERROR(MATCH(Methode_Keuze,SubsidieTabel!$Q$1:$T$1,0),2))&lt;&gt;1=TRUE,"ja",""),"")</f>
        <v/>
      </c>
    </row>
    <row r="1057" spans="1:27" ht="15" customHeight="1" x14ac:dyDescent="0.25">
      <c r="A1057" s="85"/>
      <c r="B1057" s="217" t="str">
        <f>IF(A1057&lt;&gt;"",_xlfn.MAXIFS($B$1:B1056,$A$1:A1056,A1057)+1,"")</f>
        <v/>
      </c>
      <c r="C1057" s="50"/>
      <c r="D1057" s="50"/>
      <c r="E1057" s="50"/>
      <c r="F1057" s="50"/>
      <c r="G1057" s="280"/>
      <c r="H1057" s="293"/>
      <c r="I1057" s="292"/>
      <c r="J1057" s="292"/>
      <c r="K1057" s="200"/>
      <c r="L1057" s="200"/>
      <c r="M1057" s="89" t="str">
        <f>IFERROR(VLOOKUP(H1057,Lijsten!$H$1:$I$100,2,0),"")</f>
        <v/>
      </c>
      <c r="N1057" s="89" t="str" cm="1">
        <f t="array" ref="N1057">IFERROR(_xlfn.IFS(AND(LEFT(F1057,6)="Arbeid",RIGHT(F1057,3)&lt;&gt;"IKS"),IFERROR(VLOOKUP($G1057,Tb_KostenTypen[],2,0),"tarief"),RIGHT(F1057,3)="IKS","Uurtarief",LEFT(F1057,6)="Arbeid","Uurtarief",AND(LEFT(F1057,8)="Bijdrage",RIGHT(F1057,15)="(vrijwilligers)"),"Vast tarief"),"")</f>
        <v/>
      </c>
      <c r="O1057" s="90"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0"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1"/>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59"/>
      <c r="Z1057" s="49"/>
      <c r="AA1057" s="37" t="str" cm="1">
        <f t="array" ref="AA1057">IFERROR(IF(INDEX(SubsidieTabel!$Q$1:$T$9,MATCH($F1057,SubsidieTabel!$Q$1:$Q$9,0),IFERROR(MATCH(Methode_Keuze,SubsidieTabel!$Q$1:$T$1,0),2))&lt;&gt;1=TRUE,"ja",""),"")</f>
        <v/>
      </c>
    </row>
    <row r="1058" spans="1:27" ht="15" customHeight="1" x14ac:dyDescent="0.25">
      <c r="A1058" s="85"/>
      <c r="B1058" s="217" t="str">
        <f>IF(A1058&lt;&gt;"",_xlfn.MAXIFS($B$1:B1057,$A$1:A1057,A1058)+1,"")</f>
        <v/>
      </c>
      <c r="C1058" s="50"/>
      <c r="D1058" s="50"/>
      <c r="E1058" s="50"/>
      <c r="F1058" s="50"/>
      <c r="G1058" s="280"/>
      <c r="H1058" s="293"/>
      <c r="I1058" s="292"/>
      <c r="J1058" s="292"/>
      <c r="K1058" s="200"/>
      <c r="L1058" s="200"/>
      <c r="M1058" s="89" t="str">
        <f>IFERROR(VLOOKUP(H1058,Lijsten!$H$1:$I$100,2,0),"")</f>
        <v/>
      </c>
      <c r="N1058" s="89" t="str" cm="1">
        <f t="array" ref="N1058">IFERROR(_xlfn.IFS(AND(LEFT(F1058,6)="Arbeid",RIGHT(F1058,3)&lt;&gt;"IKS"),IFERROR(VLOOKUP($G1058,Tb_KostenTypen[],2,0),"tarief"),RIGHT(F1058,3)="IKS","Uurtarief",LEFT(F1058,6)="Arbeid","Uurtarief",AND(LEFT(F1058,8)="Bijdrage",RIGHT(F1058,15)="(vrijwilligers)"),"Vast tarief"),"")</f>
        <v/>
      </c>
      <c r="O1058" s="90"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0"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1"/>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59"/>
      <c r="Z1058" s="49"/>
      <c r="AA1058" s="37" t="str" cm="1">
        <f t="array" ref="AA1058">IFERROR(IF(INDEX(SubsidieTabel!$Q$1:$T$9,MATCH($F1058,SubsidieTabel!$Q$1:$Q$9,0),IFERROR(MATCH(Methode_Keuze,SubsidieTabel!$Q$1:$T$1,0),2))&lt;&gt;1=TRUE,"ja",""),"")</f>
        <v/>
      </c>
    </row>
    <row r="1059" spans="1:27" ht="15" customHeight="1" x14ac:dyDescent="0.25">
      <c r="A1059" s="85"/>
      <c r="B1059" s="217" t="str">
        <f>IF(A1059&lt;&gt;"",_xlfn.MAXIFS($B$1:B1058,$A$1:A1058,A1059)+1,"")</f>
        <v/>
      </c>
      <c r="C1059" s="50"/>
      <c r="D1059" s="50"/>
      <c r="E1059" s="50"/>
      <c r="F1059" s="50"/>
      <c r="G1059" s="280"/>
      <c r="H1059" s="293"/>
      <c r="I1059" s="292"/>
      <c r="J1059" s="292"/>
      <c r="K1059" s="200"/>
      <c r="L1059" s="200"/>
      <c r="M1059" s="89" t="str">
        <f>IFERROR(VLOOKUP(H1059,Lijsten!$H$1:$I$100,2,0),"")</f>
        <v/>
      </c>
      <c r="N1059" s="89" t="str" cm="1">
        <f t="array" ref="N1059">IFERROR(_xlfn.IFS(AND(LEFT(F1059,6)="Arbeid",RIGHT(F1059,3)&lt;&gt;"IKS"),IFERROR(VLOOKUP($G1059,Tb_KostenTypen[],2,0),"tarief"),RIGHT(F1059,3)="IKS","Uurtarief",LEFT(F1059,6)="Arbeid","Uurtarief",AND(LEFT(F1059,8)="Bijdrage",RIGHT(F1059,15)="(vrijwilligers)"),"Vast tarief"),"")</f>
        <v/>
      </c>
      <c r="O1059" s="90"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0"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1"/>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59"/>
      <c r="Z1059" s="49"/>
      <c r="AA1059" s="37" t="str" cm="1">
        <f t="array" ref="AA1059">IFERROR(IF(INDEX(SubsidieTabel!$Q$1:$T$9,MATCH($F1059,SubsidieTabel!$Q$1:$Q$9,0),IFERROR(MATCH(Methode_Keuze,SubsidieTabel!$Q$1:$T$1,0),2))&lt;&gt;1=TRUE,"ja",""),"")</f>
        <v/>
      </c>
    </row>
    <row r="1060" spans="1:27" ht="15" customHeight="1" x14ac:dyDescent="0.25">
      <c r="A1060" s="85"/>
      <c r="B1060" s="217" t="str">
        <f>IF(A1060&lt;&gt;"",_xlfn.MAXIFS($B$1:B1059,$A$1:A1059,A1060)+1,"")</f>
        <v/>
      </c>
      <c r="C1060" s="50"/>
      <c r="D1060" s="50"/>
      <c r="E1060" s="50"/>
      <c r="F1060" s="50"/>
      <c r="G1060" s="280"/>
      <c r="H1060" s="293"/>
      <c r="I1060" s="292"/>
      <c r="J1060" s="292"/>
      <c r="K1060" s="200"/>
      <c r="L1060" s="200"/>
      <c r="M1060" s="89" t="str">
        <f>IFERROR(VLOOKUP(H1060,Lijsten!$H$1:$I$100,2,0),"")</f>
        <v/>
      </c>
      <c r="N1060" s="89" t="str" cm="1">
        <f t="array" ref="N1060">IFERROR(_xlfn.IFS(AND(LEFT(F1060,6)="Arbeid",RIGHT(F1060,3)&lt;&gt;"IKS"),IFERROR(VLOOKUP($G1060,Tb_KostenTypen[],2,0),"tarief"),RIGHT(F1060,3)="IKS","Uurtarief",LEFT(F1060,6)="Arbeid","Uurtarief",AND(LEFT(F1060,8)="Bijdrage",RIGHT(F1060,15)="(vrijwilligers)"),"Vast tarief"),"")</f>
        <v/>
      </c>
      <c r="O1060" s="90"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0"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1"/>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59"/>
      <c r="Z1060" s="49"/>
      <c r="AA1060" s="37" t="str" cm="1">
        <f t="array" ref="AA1060">IFERROR(IF(INDEX(SubsidieTabel!$Q$1:$T$9,MATCH($F1060,SubsidieTabel!$Q$1:$Q$9,0),IFERROR(MATCH(Methode_Keuze,SubsidieTabel!$Q$1:$T$1,0),2))&lt;&gt;1=TRUE,"ja",""),"")</f>
        <v/>
      </c>
    </row>
    <row r="1061" spans="1:27" ht="15" customHeight="1" x14ac:dyDescent="0.25">
      <c r="A1061" s="85"/>
      <c r="B1061" s="217" t="str">
        <f>IF(A1061&lt;&gt;"",_xlfn.MAXIFS($B$1:B1060,$A$1:A1060,A1061)+1,"")</f>
        <v/>
      </c>
      <c r="C1061" s="50"/>
      <c r="D1061" s="50"/>
      <c r="E1061" s="50"/>
      <c r="F1061" s="50"/>
      <c r="G1061" s="280"/>
      <c r="H1061" s="293"/>
      <c r="I1061" s="292"/>
      <c r="J1061" s="292"/>
      <c r="K1061" s="200"/>
      <c r="L1061" s="200"/>
      <c r="M1061" s="89" t="str">
        <f>IFERROR(VLOOKUP(H1061,Lijsten!$H$1:$I$100,2,0),"")</f>
        <v/>
      </c>
      <c r="N1061" s="89" t="str" cm="1">
        <f t="array" ref="N1061">IFERROR(_xlfn.IFS(AND(LEFT(F1061,6)="Arbeid",RIGHT(F1061,3)&lt;&gt;"IKS"),IFERROR(VLOOKUP($G1061,Tb_KostenTypen[],2,0),"tarief"),RIGHT(F1061,3)="IKS","Uurtarief",LEFT(F1061,6)="Arbeid","Uurtarief",AND(LEFT(F1061,8)="Bijdrage",RIGHT(F1061,15)="(vrijwilligers)"),"Vast tarief"),"")</f>
        <v/>
      </c>
      <c r="O1061" s="90"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0"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1"/>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59"/>
      <c r="Z1061" s="49"/>
      <c r="AA1061" s="37" t="str" cm="1">
        <f t="array" ref="AA1061">IFERROR(IF(INDEX(SubsidieTabel!$Q$1:$T$9,MATCH($F1061,SubsidieTabel!$Q$1:$Q$9,0),IFERROR(MATCH(Methode_Keuze,SubsidieTabel!$Q$1:$T$1,0),2))&lt;&gt;1=TRUE,"ja",""),"")</f>
        <v/>
      </c>
    </row>
    <row r="1062" spans="1:27" ht="15" customHeight="1" x14ac:dyDescent="0.25">
      <c r="A1062" s="85"/>
      <c r="B1062" s="217" t="str">
        <f>IF(A1062&lt;&gt;"",_xlfn.MAXIFS($B$1:B1061,$A$1:A1061,A1062)+1,"")</f>
        <v/>
      </c>
      <c r="C1062" s="50"/>
      <c r="D1062" s="50"/>
      <c r="E1062" s="50"/>
      <c r="F1062" s="50"/>
      <c r="G1062" s="280"/>
      <c r="H1062" s="293"/>
      <c r="I1062" s="292"/>
      <c r="J1062" s="292"/>
      <c r="K1062" s="200"/>
      <c r="L1062" s="200"/>
      <c r="M1062" s="89" t="str">
        <f>IFERROR(VLOOKUP(H1062,Lijsten!$H$1:$I$100,2,0),"")</f>
        <v/>
      </c>
      <c r="N1062" s="89" t="str" cm="1">
        <f t="array" ref="N1062">IFERROR(_xlfn.IFS(AND(LEFT(F1062,6)="Arbeid",RIGHT(F1062,3)&lt;&gt;"IKS"),IFERROR(VLOOKUP($G1062,Tb_KostenTypen[],2,0),"tarief"),RIGHT(F1062,3)="IKS","Uurtarief",LEFT(F1062,6)="Arbeid","Uurtarief",AND(LEFT(F1062,8)="Bijdrage",RIGHT(F1062,15)="(vrijwilligers)"),"Vast tarief"),"")</f>
        <v/>
      </c>
      <c r="O1062" s="90"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0"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1"/>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59"/>
      <c r="Z1062" s="49"/>
      <c r="AA1062" s="37" t="str" cm="1">
        <f t="array" ref="AA1062">IFERROR(IF(INDEX(SubsidieTabel!$Q$1:$T$9,MATCH($F1062,SubsidieTabel!$Q$1:$Q$9,0),IFERROR(MATCH(Methode_Keuze,SubsidieTabel!$Q$1:$T$1,0),2))&lt;&gt;1=TRUE,"ja",""),"")</f>
        <v/>
      </c>
    </row>
    <row r="1063" spans="1:27" ht="15" customHeight="1" x14ac:dyDescent="0.25">
      <c r="A1063" s="85"/>
      <c r="B1063" s="217" t="str">
        <f>IF(A1063&lt;&gt;"",_xlfn.MAXIFS($B$1:B1062,$A$1:A1062,A1063)+1,"")</f>
        <v/>
      </c>
      <c r="C1063" s="50"/>
      <c r="D1063" s="50"/>
      <c r="E1063" s="50"/>
      <c r="F1063" s="50"/>
      <c r="G1063" s="280"/>
      <c r="H1063" s="293"/>
      <c r="I1063" s="292"/>
      <c r="J1063" s="292"/>
      <c r="K1063" s="200"/>
      <c r="L1063" s="200"/>
      <c r="M1063" s="89" t="str">
        <f>IFERROR(VLOOKUP(H1063,Lijsten!$H$1:$I$100,2,0),"")</f>
        <v/>
      </c>
      <c r="N1063" s="89" t="str" cm="1">
        <f t="array" ref="N1063">IFERROR(_xlfn.IFS(AND(LEFT(F1063,6)="Arbeid",RIGHT(F1063,3)&lt;&gt;"IKS"),IFERROR(VLOOKUP($G1063,Tb_KostenTypen[],2,0),"tarief"),RIGHT(F1063,3)="IKS","Uurtarief",LEFT(F1063,6)="Arbeid","Uurtarief",AND(LEFT(F1063,8)="Bijdrage",RIGHT(F1063,15)="(vrijwilligers)"),"Vast tarief"),"")</f>
        <v/>
      </c>
      <c r="O1063" s="90"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0"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1"/>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59"/>
      <c r="Z1063" s="49"/>
      <c r="AA1063" s="37" t="str" cm="1">
        <f t="array" ref="AA1063">IFERROR(IF(INDEX(SubsidieTabel!$Q$1:$T$9,MATCH($F1063,SubsidieTabel!$Q$1:$Q$9,0),IFERROR(MATCH(Methode_Keuze,SubsidieTabel!$Q$1:$T$1,0),2))&lt;&gt;1=TRUE,"ja",""),"")</f>
        <v/>
      </c>
    </row>
    <row r="1064" spans="1:27" ht="15" customHeight="1" x14ac:dyDescent="0.25">
      <c r="A1064" s="85"/>
      <c r="B1064" s="217" t="str">
        <f>IF(A1064&lt;&gt;"",_xlfn.MAXIFS($B$1:B1063,$A$1:A1063,A1064)+1,"")</f>
        <v/>
      </c>
      <c r="C1064" s="50"/>
      <c r="D1064" s="50"/>
      <c r="E1064" s="50"/>
      <c r="F1064" s="50"/>
      <c r="G1064" s="280"/>
      <c r="H1064" s="293"/>
      <c r="I1064" s="292"/>
      <c r="J1064" s="292"/>
      <c r="K1064" s="200"/>
      <c r="L1064" s="200"/>
      <c r="M1064" s="89" t="str">
        <f>IFERROR(VLOOKUP(H1064,Lijsten!$H$1:$I$100,2,0),"")</f>
        <v/>
      </c>
      <c r="N1064" s="89" t="str" cm="1">
        <f t="array" ref="N1064">IFERROR(_xlfn.IFS(AND(LEFT(F1064,6)="Arbeid",RIGHT(F1064,3)&lt;&gt;"IKS"),IFERROR(VLOOKUP($G1064,Tb_KostenTypen[],2,0),"tarief"),RIGHT(F1064,3)="IKS","Uurtarief",LEFT(F1064,6)="Arbeid","Uurtarief",AND(LEFT(F1064,8)="Bijdrage",RIGHT(F1064,15)="(vrijwilligers)"),"Vast tarief"),"")</f>
        <v/>
      </c>
      <c r="O1064" s="90"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0"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1"/>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59"/>
      <c r="Z1064" s="49"/>
      <c r="AA1064" s="37" t="str" cm="1">
        <f t="array" ref="AA1064">IFERROR(IF(INDEX(SubsidieTabel!$Q$1:$T$9,MATCH($F1064,SubsidieTabel!$Q$1:$Q$9,0),IFERROR(MATCH(Methode_Keuze,SubsidieTabel!$Q$1:$T$1,0),2))&lt;&gt;1=TRUE,"ja",""),"")</f>
        <v/>
      </c>
    </row>
    <row r="1065" spans="1:27" ht="15" customHeight="1" x14ac:dyDescent="0.25">
      <c r="A1065" s="85"/>
      <c r="B1065" s="217" t="str">
        <f>IF(A1065&lt;&gt;"",_xlfn.MAXIFS($B$1:B1064,$A$1:A1064,A1065)+1,"")</f>
        <v/>
      </c>
      <c r="C1065" s="50"/>
      <c r="D1065" s="50"/>
      <c r="E1065" s="50"/>
      <c r="F1065" s="50"/>
      <c r="G1065" s="280"/>
      <c r="H1065" s="293"/>
      <c r="I1065" s="292"/>
      <c r="J1065" s="292"/>
      <c r="K1065" s="200"/>
      <c r="L1065" s="200"/>
      <c r="M1065" s="89" t="str">
        <f>IFERROR(VLOOKUP(H1065,Lijsten!$H$1:$I$100,2,0),"")</f>
        <v/>
      </c>
      <c r="N1065" s="89" t="str" cm="1">
        <f t="array" ref="N1065">IFERROR(_xlfn.IFS(AND(LEFT(F1065,6)="Arbeid",RIGHT(F1065,3)&lt;&gt;"IKS"),IFERROR(VLOOKUP($G1065,Tb_KostenTypen[],2,0),"tarief"),RIGHT(F1065,3)="IKS","Uurtarief",LEFT(F1065,6)="Arbeid","Uurtarief",AND(LEFT(F1065,8)="Bijdrage",RIGHT(F1065,15)="(vrijwilligers)"),"Vast tarief"),"")</f>
        <v/>
      </c>
      <c r="O1065" s="90"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0"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1"/>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59"/>
      <c r="Z1065" s="49"/>
      <c r="AA1065" s="37" t="str" cm="1">
        <f t="array" ref="AA1065">IFERROR(IF(INDEX(SubsidieTabel!$Q$1:$T$9,MATCH($F1065,SubsidieTabel!$Q$1:$Q$9,0),IFERROR(MATCH(Methode_Keuze,SubsidieTabel!$Q$1:$T$1,0),2))&lt;&gt;1=TRUE,"ja",""),"")</f>
        <v/>
      </c>
    </row>
    <row r="1066" spans="1:27" ht="15" customHeight="1" x14ac:dyDescent="0.25">
      <c r="A1066" s="85"/>
      <c r="B1066" s="217" t="str">
        <f>IF(A1066&lt;&gt;"",_xlfn.MAXIFS($B$1:B1065,$A$1:A1065,A1066)+1,"")</f>
        <v/>
      </c>
      <c r="C1066" s="50"/>
      <c r="D1066" s="50"/>
      <c r="E1066" s="50"/>
      <c r="F1066" s="50"/>
      <c r="G1066" s="280"/>
      <c r="H1066" s="293"/>
      <c r="I1066" s="292"/>
      <c r="J1066" s="292"/>
      <c r="K1066" s="200"/>
      <c r="L1066" s="200"/>
      <c r="M1066" s="89" t="str">
        <f>IFERROR(VLOOKUP(H1066,Lijsten!$H$1:$I$100,2,0),"")</f>
        <v/>
      </c>
      <c r="N1066" s="89" t="str" cm="1">
        <f t="array" ref="N1066">IFERROR(_xlfn.IFS(AND(LEFT(F1066,6)="Arbeid",RIGHT(F1066,3)&lt;&gt;"IKS"),IFERROR(VLOOKUP($G1066,Tb_KostenTypen[],2,0),"tarief"),RIGHT(F1066,3)="IKS","Uurtarief",LEFT(F1066,6)="Arbeid","Uurtarief",AND(LEFT(F1066,8)="Bijdrage",RIGHT(F1066,15)="(vrijwilligers)"),"Vast tarief"),"")</f>
        <v/>
      </c>
      <c r="O1066" s="90"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0"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1"/>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59"/>
      <c r="Z1066" s="49"/>
      <c r="AA1066" s="37" t="str" cm="1">
        <f t="array" ref="AA1066">IFERROR(IF(INDEX(SubsidieTabel!$Q$1:$T$9,MATCH($F1066,SubsidieTabel!$Q$1:$Q$9,0),IFERROR(MATCH(Methode_Keuze,SubsidieTabel!$Q$1:$T$1,0),2))&lt;&gt;1=TRUE,"ja",""),"")</f>
        <v/>
      </c>
    </row>
    <row r="1067" spans="1:27" ht="15" customHeight="1" x14ac:dyDescent="0.25">
      <c r="A1067" s="85"/>
      <c r="B1067" s="217" t="str">
        <f>IF(A1067&lt;&gt;"",_xlfn.MAXIFS($B$1:B1066,$A$1:A1066,A1067)+1,"")</f>
        <v/>
      </c>
      <c r="C1067" s="50"/>
      <c r="D1067" s="50"/>
      <c r="E1067" s="50"/>
      <c r="F1067" s="50"/>
      <c r="G1067" s="280"/>
      <c r="H1067" s="293"/>
      <c r="I1067" s="292"/>
      <c r="J1067" s="292"/>
      <c r="K1067" s="200"/>
      <c r="L1067" s="200"/>
      <c r="M1067" s="89" t="str">
        <f>IFERROR(VLOOKUP(H1067,Lijsten!$H$1:$I$100,2,0),"")</f>
        <v/>
      </c>
      <c r="N1067" s="89" t="str" cm="1">
        <f t="array" ref="N1067">IFERROR(_xlfn.IFS(AND(LEFT(F1067,6)="Arbeid",RIGHT(F1067,3)&lt;&gt;"IKS"),IFERROR(VLOOKUP($G1067,Tb_KostenTypen[],2,0),"tarief"),RIGHT(F1067,3)="IKS","Uurtarief",LEFT(F1067,6)="Arbeid","Uurtarief",AND(LEFT(F1067,8)="Bijdrage",RIGHT(F1067,15)="(vrijwilligers)"),"Vast tarief"),"")</f>
        <v/>
      </c>
      <c r="O1067" s="90"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0"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1"/>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59"/>
      <c r="Z1067" s="49"/>
      <c r="AA1067" s="37" t="str" cm="1">
        <f t="array" ref="AA1067">IFERROR(IF(INDEX(SubsidieTabel!$Q$1:$T$9,MATCH($F1067,SubsidieTabel!$Q$1:$Q$9,0),IFERROR(MATCH(Methode_Keuze,SubsidieTabel!$Q$1:$T$1,0),2))&lt;&gt;1=TRUE,"ja",""),"")</f>
        <v/>
      </c>
    </row>
    <row r="1068" spans="1:27" ht="15" customHeight="1" x14ac:dyDescent="0.25">
      <c r="A1068" s="85"/>
      <c r="B1068" s="217" t="str">
        <f>IF(A1068&lt;&gt;"",_xlfn.MAXIFS($B$1:B1067,$A$1:A1067,A1068)+1,"")</f>
        <v/>
      </c>
      <c r="C1068" s="50"/>
      <c r="D1068" s="50"/>
      <c r="E1068" s="50"/>
      <c r="F1068" s="50"/>
      <c r="G1068" s="280"/>
      <c r="H1068" s="293"/>
      <c r="I1068" s="292"/>
      <c r="J1068" s="292"/>
      <c r="K1068" s="200"/>
      <c r="L1068" s="200"/>
      <c r="M1068" s="89" t="str">
        <f>IFERROR(VLOOKUP(H1068,Lijsten!$H$1:$I$100,2,0),"")</f>
        <v/>
      </c>
      <c r="N1068" s="89" t="str" cm="1">
        <f t="array" ref="N1068">IFERROR(_xlfn.IFS(AND(LEFT(F1068,6)="Arbeid",RIGHT(F1068,3)&lt;&gt;"IKS"),IFERROR(VLOOKUP($G1068,Tb_KostenTypen[],2,0),"tarief"),RIGHT(F1068,3)="IKS","Uurtarief",LEFT(F1068,6)="Arbeid","Uurtarief",AND(LEFT(F1068,8)="Bijdrage",RIGHT(F1068,15)="(vrijwilligers)"),"Vast tarief"),"")</f>
        <v/>
      </c>
      <c r="O1068" s="90"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0"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1"/>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59"/>
      <c r="Z1068" s="49"/>
      <c r="AA1068" s="37" t="str" cm="1">
        <f t="array" ref="AA1068">IFERROR(IF(INDEX(SubsidieTabel!$Q$1:$T$9,MATCH($F1068,SubsidieTabel!$Q$1:$Q$9,0),IFERROR(MATCH(Methode_Keuze,SubsidieTabel!$Q$1:$T$1,0),2))&lt;&gt;1=TRUE,"ja",""),"")</f>
        <v/>
      </c>
    </row>
    <row r="1069" spans="1:27" ht="15" customHeight="1" x14ac:dyDescent="0.25">
      <c r="A1069" s="85"/>
      <c r="B1069" s="217" t="str">
        <f>IF(A1069&lt;&gt;"",_xlfn.MAXIFS($B$1:B1068,$A$1:A1068,A1069)+1,"")</f>
        <v/>
      </c>
      <c r="C1069" s="50"/>
      <c r="D1069" s="50"/>
      <c r="E1069" s="50"/>
      <c r="F1069" s="50"/>
      <c r="G1069" s="280"/>
      <c r="H1069" s="293"/>
      <c r="I1069" s="292"/>
      <c r="J1069" s="292"/>
      <c r="K1069" s="200"/>
      <c r="L1069" s="200"/>
      <c r="M1069" s="89" t="str">
        <f>IFERROR(VLOOKUP(H1069,Lijsten!$H$1:$I$100,2,0),"")</f>
        <v/>
      </c>
      <c r="N1069" s="89" t="str" cm="1">
        <f t="array" ref="N1069">IFERROR(_xlfn.IFS(AND(LEFT(F1069,6)="Arbeid",RIGHT(F1069,3)&lt;&gt;"IKS"),IFERROR(VLOOKUP($G1069,Tb_KostenTypen[],2,0),"tarief"),RIGHT(F1069,3)="IKS","Uurtarief",LEFT(F1069,6)="Arbeid","Uurtarief",AND(LEFT(F1069,8)="Bijdrage",RIGHT(F1069,15)="(vrijwilligers)"),"Vast tarief"),"")</f>
        <v/>
      </c>
      <c r="O1069" s="90"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0"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1"/>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59"/>
      <c r="Z1069" s="49"/>
      <c r="AA1069" s="37" t="str" cm="1">
        <f t="array" ref="AA1069">IFERROR(IF(INDEX(SubsidieTabel!$Q$1:$T$9,MATCH($F1069,SubsidieTabel!$Q$1:$Q$9,0),IFERROR(MATCH(Methode_Keuze,SubsidieTabel!$Q$1:$T$1,0),2))&lt;&gt;1=TRUE,"ja",""),"")</f>
        <v/>
      </c>
    </row>
    <row r="1070" spans="1:27" ht="15" customHeight="1" x14ac:dyDescent="0.25">
      <c r="A1070" s="85"/>
      <c r="B1070" s="217" t="str">
        <f>IF(A1070&lt;&gt;"",_xlfn.MAXIFS($B$1:B1069,$A$1:A1069,A1070)+1,"")</f>
        <v/>
      </c>
      <c r="C1070" s="50"/>
      <c r="D1070" s="50"/>
      <c r="E1070" s="50"/>
      <c r="F1070" s="50"/>
      <c r="G1070" s="280"/>
      <c r="H1070" s="293"/>
      <c r="I1070" s="292"/>
      <c r="J1070" s="292"/>
      <c r="K1070" s="200"/>
      <c r="L1070" s="200"/>
      <c r="M1070" s="89" t="str">
        <f>IFERROR(VLOOKUP(H1070,Lijsten!$H$1:$I$100,2,0),"")</f>
        <v/>
      </c>
      <c r="N1070" s="89" t="str" cm="1">
        <f t="array" ref="N1070">IFERROR(_xlfn.IFS(AND(LEFT(F1070,6)="Arbeid",RIGHT(F1070,3)&lt;&gt;"IKS"),IFERROR(VLOOKUP($G1070,Tb_KostenTypen[],2,0),"tarief"),RIGHT(F1070,3)="IKS","Uurtarief",LEFT(F1070,6)="Arbeid","Uurtarief",AND(LEFT(F1070,8)="Bijdrage",RIGHT(F1070,15)="(vrijwilligers)"),"Vast tarief"),"")</f>
        <v/>
      </c>
      <c r="O1070" s="90"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0"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1"/>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59"/>
      <c r="Z1070" s="49"/>
      <c r="AA1070" s="37" t="str" cm="1">
        <f t="array" ref="AA1070">IFERROR(IF(INDEX(SubsidieTabel!$Q$1:$T$9,MATCH($F1070,SubsidieTabel!$Q$1:$Q$9,0),IFERROR(MATCH(Methode_Keuze,SubsidieTabel!$Q$1:$T$1,0),2))&lt;&gt;1=TRUE,"ja",""),"")</f>
        <v/>
      </c>
    </row>
    <row r="1071" spans="1:27" ht="15" customHeight="1" x14ac:dyDescent="0.25">
      <c r="A1071" s="85"/>
      <c r="B1071" s="217" t="str">
        <f>IF(A1071&lt;&gt;"",_xlfn.MAXIFS($B$1:B1070,$A$1:A1070,A1071)+1,"")</f>
        <v/>
      </c>
      <c r="C1071" s="50"/>
      <c r="D1071" s="50"/>
      <c r="E1071" s="50"/>
      <c r="F1071" s="50"/>
      <c r="G1071" s="280"/>
      <c r="H1071" s="293"/>
      <c r="I1071" s="292"/>
      <c r="J1071" s="292"/>
      <c r="K1071" s="200"/>
      <c r="L1071" s="200"/>
      <c r="M1071" s="89" t="str">
        <f>IFERROR(VLOOKUP(H1071,Lijsten!$H$1:$I$100,2,0),"")</f>
        <v/>
      </c>
      <c r="N1071" s="89" t="str" cm="1">
        <f t="array" ref="N1071">IFERROR(_xlfn.IFS(AND(LEFT(F1071,6)="Arbeid",RIGHT(F1071,3)&lt;&gt;"IKS"),IFERROR(VLOOKUP($G1071,Tb_KostenTypen[],2,0),"tarief"),RIGHT(F1071,3)="IKS","Uurtarief",LEFT(F1071,6)="Arbeid","Uurtarief",AND(LEFT(F1071,8)="Bijdrage",RIGHT(F1071,15)="(vrijwilligers)"),"Vast tarief"),"")</f>
        <v/>
      </c>
      <c r="O1071" s="90"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0"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1"/>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59"/>
      <c r="Z1071" s="49"/>
      <c r="AA1071" s="37" t="str" cm="1">
        <f t="array" ref="AA1071">IFERROR(IF(INDEX(SubsidieTabel!$Q$1:$T$9,MATCH($F1071,SubsidieTabel!$Q$1:$Q$9,0),IFERROR(MATCH(Methode_Keuze,SubsidieTabel!$Q$1:$T$1,0),2))&lt;&gt;1=TRUE,"ja",""),"")</f>
        <v/>
      </c>
    </row>
    <row r="1072" spans="1:27" ht="15" customHeight="1" x14ac:dyDescent="0.25">
      <c r="A1072" s="85"/>
      <c r="B1072" s="217" t="str">
        <f>IF(A1072&lt;&gt;"",_xlfn.MAXIFS($B$1:B1071,$A$1:A1071,A1072)+1,"")</f>
        <v/>
      </c>
      <c r="C1072" s="50"/>
      <c r="D1072" s="50"/>
      <c r="E1072" s="50"/>
      <c r="F1072" s="50"/>
      <c r="G1072" s="280"/>
      <c r="H1072" s="293"/>
      <c r="I1072" s="292"/>
      <c r="J1072" s="292"/>
      <c r="K1072" s="200"/>
      <c r="L1072" s="200"/>
      <c r="M1072" s="89" t="str">
        <f>IFERROR(VLOOKUP(H1072,Lijsten!$H$1:$I$100,2,0),"")</f>
        <v/>
      </c>
      <c r="N1072" s="89" t="str" cm="1">
        <f t="array" ref="N1072">IFERROR(_xlfn.IFS(AND(LEFT(F1072,6)="Arbeid",RIGHT(F1072,3)&lt;&gt;"IKS"),IFERROR(VLOOKUP($G1072,Tb_KostenTypen[],2,0),"tarief"),RIGHT(F1072,3)="IKS","Uurtarief",LEFT(F1072,6)="Arbeid","Uurtarief",AND(LEFT(F1072,8)="Bijdrage",RIGHT(F1072,15)="(vrijwilligers)"),"Vast tarief"),"")</f>
        <v/>
      </c>
      <c r="O1072" s="90"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0"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1"/>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59"/>
      <c r="Z1072" s="49"/>
      <c r="AA1072" s="37" t="str" cm="1">
        <f t="array" ref="AA1072">IFERROR(IF(INDEX(SubsidieTabel!$Q$1:$T$9,MATCH($F1072,SubsidieTabel!$Q$1:$Q$9,0),IFERROR(MATCH(Methode_Keuze,SubsidieTabel!$Q$1:$T$1,0),2))&lt;&gt;1=TRUE,"ja",""),"")</f>
        <v/>
      </c>
    </row>
    <row r="1073" spans="1:27" ht="15" customHeight="1" x14ac:dyDescent="0.25">
      <c r="A1073" s="85"/>
      <c r="B1073" s="217" t="str">
        <f>IF(A1073&lt;&gt;"",_xlfn.MAXIFS($B$1:B1072,$A$1:A1072,A1073)+1,"")</f>
        <v/>
      </c>
      <c r="C1073" s="50"/>
      <c r="D1073" s="50"/>
      <c r="E1073" s="50"/>
      <c r="F1073" s="50"/>
      <c r="G1073" s="280"/>
      <c r="H1073" s="293"/>
      <c r="I1073" s="292"/>
      <c r="J1073" s="292"/>
      <c r="K1073" s="200"/>
      <c r="L1073" s="200"/>
      <c r="M1073" s="89" t="str">
        <f>IFERROR(VLOOKUP(H1073,Lijsten!$H$1:$I$100,2,0),"")</f>
        <v/>
      </c>
      <c r="N1073" s="89" t="str" cm="1">
        <f t="array" ref="N1073">IFERROR(_xlfn.IFS(AND(LEFT(F1073,6)="Arbeid",RIGHT(F1073,3)&lt;&gt;"IKS"),IFERROR(VLOOKUP($G1073,Tb_KostenTypen[],2,0),"tarief"),RIGHT(F1073,3)="IKS","Uurtarief",LEFT(F1073,6)="Arbeid","Uurtarief",AND(LEFT(F1073,8)="Bijdrage",RIGHT(F1073,15)="(vrijwilligers)"),"Vast tarief"),"")</f>
        <v/>
      </c>
      <c r="O1073" s="90"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0"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1"/>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59"/>
      <c r="Z1073" s="49"/>
      <c r="AA1073" s="37" t="str" cm="1">
        <f t="array" ref="AA1073">IFERROR(IF(INDEX(SubsidieTabel!$Q$1:$T$9,MATCH($F1073,SubsidieTabel!$Q$1:$Q$9,0),IFERROR(MATCH(Methode_Keuze,SubsidieTabel!$Q$1:$T$1,0),2))&lt;&gt;1=TRUE,"ja",""),"")</f>
        <v/>
      </c>
    </row>
    <row r="1074" spans="1:27" ht="15" customHeight="1" x14ac:dyDescent="0.25">
      <c r="A1074" s="85"/>
      <c r="B1074" s="217" t="str">
        <f>IF(A1074&lt;&gt;"",_xlfn.MAXIFS($B$1:B1073,$A$1:A1073,A1074)+1,"")</f>
        <v/>
      </c>
      <c r="C1074" s="50"/>
      <c r="D1074" s="50"/>
      <c r="E1074" s="50"/>
      <c r="F1074" s="50"/>
      <c r="G1074" s="280"/>
      <c r="H1074" s="293"/>
      <c r="I1074" s="292"/>
      <c r="J1074" s="292"/>
      <c r="K1074" s="200"/>
      <c r="L1074" s="200"/>
      <c r="M1074" s="89" t="str">
        <f>IFERROR(VLOOKUP(H1074,Lijsten!$H$1:$I$100,2,0),"")</f>
        <v/>
      </c>
      <c r="N1074" s="89" t="str" cm="1">
        <f t="array" ref="N1074">IFERROR(_xlfn.IFS(AND(LEFT(F1074,6)="Arbeid",RIGHT(F1074,3)&lt;&gt;"IKS"),IFERROR(VLOOKUP($G1074,Tb_KostenTypen[],2,0),"tarief"),RIGHT(F1074,3)="IKS","Uurtarief",LEFT(F1074,6)="Arbeid","Uurtarief",AND(LEFT(F1074,8)="Bijdrage",RIGHT(F1074,15)="(vrijwilligers)"),"Vast tarief"),"")</f>
        <v/>
      </c>
      <c r="O1074" s="90"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0"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1"/>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59"/>
      <c r="Z1074" s="49"/>
      <c r="AA1074" s="37" t="str" cm="1">
        <f t="array" ref="AA1074">IFERROR(IF(INDEX(SubsidieTabel!$Q$1:$T$9,MATCH($F1074,SubsidieTabel!$Q$1:$Q$9,0),IFERROR(MATCH(Methode_Keuze,SubsidieTabel!$Q$1:$T$1,0),2))&lt;&gt;1=TRUE,"ja",""),"")</f>
        <v/>
      </c>
    </row>
    <row r="1075" spans="1:27" ht="15" customHeight="1" x14ac:dyDescent="0.25">
      <c r="A1075" s="85"/>
      <c r="B1075" s="217" t="str">
        <f>IF(A1075&lt;&gt;"",_xlfn.MAXIFS($B$1:B1074,$A$1:A1074,A1075)+1,"")</f>
        <v/>
      </c>
      <c r="C1075" s="50"/>
      <c r="D1075" s="50"/>
      <c r="E1075" s="50"/>
      <c r="F1075" s="50"/>
      <c r="G1075" s="280"/>
      <c r="H1075" s="293"/>
      <c r="I1075" s="292"/>
      <c r="J1075" s="292"/>
      <c r="K1075" s="200"/>
      <c r="L1075" s="200"/>
      <c r="M1075" s="89" t="str">
        <f>IFERROR(VLOOKUP(H1075,Lijsten!$H$1:$I$100,2,0),"")</f>
        <v/>
      </c>
      <c r="N1075" s="89" t="str" cm="1">
        <f t="array" ref="N1075">IFERROR(_xlfn.IFS(AND(LEFT(F1075,6)="Arbeid",RIGHT(F1075,3)&lt;&gt;"IKS"),IFERROR(VLOOKUP($G1075,Tb_KostenTypen[],2,0),"tarief"),RIGHT(F1075,3)="IKS","Uurtarief",LEFT(F1075,6)="Arbeid","Uurtarief",AND(LEFT(F1075,8)="Bijdrage",RIGHT(F1075,15)="(vrijwilligers)"),"Vast tarief"),"")</f>
        <v/>
      </c>
      <c r="O1075" s="90"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0"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1"/>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59"/>
      <c r="Z1075" s="49"/>
      <c r="AA1075" s="37" t="str" cm="1">
        <f t="array" ref="AA1075">IFERROR(IF(INDEX(SubsidieTabel!$Q$1:$T$9,MATCH($F1075,SubsidieTabel!$Q$1:$Q$9,0),IFERROR(MATCH(Methode_Keuze,SubsidieTabel!$Q$1:$T$1,0),2))&lt;&gt;1=TRUE,"ja",""),"")</f>
        <v/>
      </c>
    </row>
    <row r="1076" spans="1:27" ht="15" customHeight="1" x14ac:dyDescent="0.25">
      <c r="A1076" s="85"/>
      <c r="B1076" s="217" t="str">
        <f>IF(A1076&lt;&gt;"",_xlfn.MAXIFS($B$1:B1075,$A$1:A1075,A1076)+1,"")</f>
        <v/>
      </c>
      <c r="C1076" s="50"/>
      <c r="D1076" s="50"/>
      <c r="E1076" s="50"/>
      <c r="F1076" s="50"/>
      <c r="G1076" s="280"/>
      <c r="H1076" s="293"/>
      <c r="I1076" s="292"/>
      <c r="J1076" s="292"/>
      <c r="K1076" s="200"/>
      <c r="L1076" s="200"/>
      <c r="M1076" s="89" t="str">
        <f>IFERROR(VLOOKUP(H1076,Lijsten!$H$1:$I$100,2,0),"")</f>
        <v/>
      </c>
      <c r="N1076" s="89" t="str" cm="1">
        <f t="array" ref="N1076">IFERROR(_xlfn.IFS(AND(LEFT(F1076,6)="Arbeid",RIGHT(F1076,3)&lt;&gt;"IKS"),IFERROR(VLOOKUP($G1076,Tb_KostenTypen[],2,0),"tarief"),RIGHT(F1076,3)="IKS","Uurtarief",LEFT(F1076,6)="Arbeid","Uurtarief",AND(LEFT(F1076,8)="Bijdrage",RIGHT(F1076,15)="(vrijwilligers)"),"Vast tarief"),"")</f>
        <v/>
      </c>
      <c r="O1076" s="90"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0"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1"/>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59"/>
      <c r="Z1076" s="49"/>
      <c r="AA1076" s="37" t="str" cm="1">
        <f t="array" ref="AA1076">IFERROR(IF(INDEX(SubsidieTabel!$Q$1:$T$9,MATCH($F1076,SubsidieTabel!$Q$1:$Q$9,0),IFERROR(MATCH(Methode_Keuze,SubsidieTabel!$Q$1:$T$1,0),2))&lt;&gt;1=TRUE,"ja",""),"")</f>
        <v/>
      </c>
    </row>
    <row r="1077" spans="1:27" ht="15" customHeight="1" x14ac:dyDescent="0.25">
      <c r="A1077" s="85"/>
      <c r="B1077" s="217" t="str">
        <f>IF(A1077&lt;&gt;"",_xlfn.MAXIFS($B$1:B1076,$A$1:A1076,A1077)+1,"")</f>
        <v/>
      </c>
      <c r="C1077" s="50"/>
      <c r="D1077" s="50"/>
      <c r="E1077" s="50"/>
      <c r="F1077" s="50"/>
      <c r="G1077" s="280"/>
      <c r="H1077" s="293"/>
      <c r="I1077" s="292"/>
      <c r="J1077" s="292"/>
      <c r="K1077" s="200"/>
      <c r="L1077" s="200"/>
      <c r="M1077" s="89" t="str">
        <f>IFERROR(VLOOKUP(H1077,Lijsten!$H$1:$I$100,2,0),"")</f>
        <v/>
      </c>
      <c r="N1077" s="89" t="str" cm="1">
        <f t="array" ref="N1077">IFERROR(_xlfn.IFS(AND(LEFT(F1077,6)="Arbeid",RIGHT(F1077,3)&lt;&gt;"IKS"),IFERROR(VLOOKUP($G1077,Tb_KostenTypen[],2,0),"tarief"),RIGHT(F1077,3)="IKS","Uurtarief",LEFT(F1077,6)="Arbeid","Uurtarief",AND(LEFT(F1077,8)="Bijdrage",RIGHT(F1077,15)="(vrijwilligers)"),"Vast tarief"),"")</f>
        <v/>
      </c>
      <c r="O1077" s="90"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0"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1"/>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59"/>
      <c r="Z1077" s="49"/>
      <c r="AA1077" s="37" t="str" cm="1">
        <f t="array" ref="AA1077">IFERROR(IF(INDEX(SubsidieTabel!$Q$1:$T$9,MATCH($F1077,SubsidieTabel!$Q$1:$Q$9,0),IFERROR(MATCH(Methode_Keuze,SubsidieTabel!$Q$1:$T$1,0),2))&lt;&gt;1=TRUE,"ja",""),"")</f>
        <v/>
      </c>
    </row>
    <row r="1078" spans="1:27" ht="15" customHeight="1" x14ac:dyDescent="0.25">
      <c r="A1078" s="85"/>
      <c r="B1078" s="217" t="str">
        <f>IF(A1078&lt;&gt;"",_xlfn.MAXIFS($B$1:B1077,$A$1:A1077,A1078)+1,"")</f>
        <v/>
      </c>
      <c r="C1078" s="50"/>
      <c r="D1078" s="50"/>
      <c r="E1078" s="50"/>
      <c r="F1078" s="50"/>
      <c r="G1078" s="280"/>
      <c r="H1078" s="293"/>
      <c r="I1078" s="292"/>
      <c r="J1078" s="292"/>
      <c r="K1078" s="200"/>
      <c r="L1078" s="200"/>
      <c r="M1078" s="89" t="str">
        <f>IFERROR(VLOOKUP(H1078,Lijsten!$H$1:$I$100,2,0),"")</f>
        <v/>
      </c>
      <c r="N1078" s="89" t="str" cm="1">
        <f t="array" ref="N1078">IFERROR(_xlfn.IFS(AND(LEFT(F1078,6)="Arbeid",RIGHT(F1078,3)&lt;&gt;"IKS"),IFERROR(VLOOKUP($G1078,Tb_KostenTypen[],2,0),"tarief"),RIGHT(F1078,3)="IKS","Uurtarief",LEFT(F1078,6)="Arbeid","Uurtarief",AND(LEFT(F1078,8)="Bijdrage",RIGHT(F1078,15)="(vrijwilligers)"),"Vast tarief"),"")</f>
        <v/>
      </c>
      <c r="O1078" s="90"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0"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1"/>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59"/>
      <c r="Z1078" s="49"/>
      <c r="AA1078" s="37" t="str" cm="1">
        <f t="array" ref="AA1078">IFERROR(IF(INDEX(SubsidieTabel!$Q$1:$T$9,MATCH($F1078,SubsidieTabel!$Q$1:$Q$9,0),IFERROR(MATCH(Methode_Keuze,SubsidieTabel!$Q$1:$T$1,0),2))&lt;&gt;1=TRUE,"ja",""),"")</f>
        <v/>
      </c>
    </row>
    <row r="1079" spans="1:27" ht="15" customHeight="1" x14ac:dyDescent="0.25">
      <c r="A1079" s="85"/>
      <c r="B1079" s="217" t="str">
        <f>IF(A1079&lt;&gt;"",_xlfn.MAXIFS($B$1:B1078,$A$1:A1078,A1079)+1,"")</f>
        <v/>
      </c>
      <c r="C1079" s="50"/>
      <c r="D1079" s="50"/>
      <c r="E1079" s="50"/>
      <c r="F1079" s="50"/>
      <c r="G1079" s="280"/>
      <c r="H1079" s="293"/>
      <c r="I1079" s="292"/>
      <c r="J1079" s="292"/>
      <c r="K1079" s="200"/>
      <c r="L1079" s="200"/>
      <c r="M1079" s="89" t="str">
        <f>IFERROR(VLOOKUP(H1079,Lijsten!$H$1:$I$100,2,0),"")</f>
        <v/>
      </c>
      <c r="N1079" s="89" t="str" cm="1">
        <f t="array" ref="N1079">IFERROR(_xlfn.IFS(AND(LEFT(F1079,6)="Arbeid",RIGHT(F1079,3)&lt;&gt;"IKS"),IFERROR(VLOOKUP($G1079,Tb_KostenTypen[],2,0),"tarief"),RIGHT(F1079,3)="IKS","Uurtarief",LEFT(F1079,6)="Arbeid","Uurtarief",AND(LEFT(F1079,8)="Bijdrage",RIGHT(F1079,15)="(vrijwilligers)"),"Vast tarief"),"")</f>
        <v/>
      </c>
      <c r="O1079" s="90"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0"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1"/>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59"/>
      <c r="Z1079" s="49"/>
      <c r="AA1079" s="37" t="str" cm="1">
        <f t="array" ref="AA1079">IFERROR(IF(INDEX(SubsidieTabel!$Q$1:$T$9,MATCH($F1079,SubsidieTabel!$Q$1:$Q$9,0),IFERROR(MATCH(Methode_Keuze,SubsidieTabel!$Q$1:$T$1,0),2))&lt;&gt;1=TRUE,"ja",""),"")</f>
        <v/>
      </c>
    </row>
    <row r="1080" spans="1:27" ht="15" customHeight="1" x14ac:dyDescent="0.25">
      <c r="A1080" s="85"/>
      <c r="B1080" s="217" t="str">
        <f>IF(A1080&lt;&gt;"",_xlfn.MAXIFS($B$1:B1079,$A$1:A1079,A1080)+1,"")</f>
        <v/>
      </c>
      <c r="C1080" s="50"/>
      <c r="D1080" s="50"/>
      <c r="E1080" s="50"/>
      <c r="F1080" s="50"/>
      <c r="G1080" s="280"/>
      <c r="H1080" s="293"/>
      <c r="I1080" s="292"/>
      <c r="J1080" s="292"/>
      <c r="K1080" s="200"/>
      <c r="L1080" s="200"/>
      <c r="M1080" s="89" t="str">
        <f>IFERROR(VLOOKUP(H1080,Lijsten!$H$1:$I$100,2,0),"")</f>
        <v/>
      </c>
      <c r="N1080" s="89" t="str" cm="1">
        <f t="array" ref="N1080">IFERROR(_xlfn.IFS(AND(LEFT(F1080,6)="Arbeid",RIGHT(F1080,3)&lt;&gt;"IKS"),IFERROR(VLOOKUP($G1080,Tb_KostenTypen[],2,0),"tarief"),RIGHT(F1080,3)="IKS","Uurtarief",LEFT(F1080,6)="Arbeid","Uurtarief",AND(LEFT(F1080,8)="Bijdrage",RIGHT(F1080,15)="(vrijwilligers)"),"Vast tarief"),"")</f>
        <v/>
      </c>
      <c r="O1080" s="90"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0"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1"/>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59"/>
      <c r="Z1080" s="49"/>
      <c r="AA1080" s="37" t="str" cm="1">
        <f t="array" ref="AA1080">IFERROR(IF(INDEX(SubsidieTabel!$Q$1:$T$9,MATCH($F1080,SubsidieTabel!$Q$1:$Q$9,0),IFERROR(MATCH(Methode_Keuze,SubsidieTabel!$Q$1:$T$1,0),2))&lt;&gt;1=TRUE,"ja",""),"")</f>
        <v/>
      </c>
    </row>
    <row r="1081" spans="1:27" ht="15" customHeight="1" x14ac:dyDescent="0.25">
      <c r="A1081" s="85"/>
      <c r="B1081" s="217" t="str">
        <f>IF(A1081&lt;&gt;"",_xlfn.MAXIFS($B$1:B1080,$A$1:A1080,A1081)+1,"")</f>
        <v/>
      </c>
      <c r="C1081" s="50"/>
      <c r="D1081" s="50"/>
      <c r="E1081" s="50"/>
      <c r="F1081" s="50"/>
      <c r="G1081" s="280"/>
      <c r="H1081" s="293"/>
      <c r="I1081" s="292"/>
      <c r="J1081" s="292"/>
      <c r="K1081" s="200"/>
      <c r="L1081" s="200"/>
      <c r="M1081" s="89" t="str">
        <f>IFERROR(VLOOKUP(H1081,Lijsten!$H$1:$I$100,2,0),"")</f>
        <v/>
      </c>
      <c r="N1081" s="89" t="str" cm="1">
        <f t="array" ref="N1081">IFERROR(_xlfn.IFS(AND(LEFT(F1081,6)="Arbeid",RIGHT(F1081,3)&lt;&gt;"IKS"),IFERROR(VLOOKUP($G1081,Tb_KostenTypen[],2,0),"tarief"),RIGHT(F1081,3)="IKS","Uurtarief",LEFT(F1081,6)="Arbeid","Uurtarief",AND(LEFT(F1081,8)="Bijdrage",RIGHT(F1081,15)="(vrijwilligers)"),"Vast tarief"),"")</f>
        <v/>
      </c>
      <c r="O1081" s="90"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0"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1"/>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59"/>
      <c r="Z1081" s="49"/>
      <c r="AA1081" s="37" t="str" cm="1">
        <f t="array" ref="AA1081">IFERROR(IF(INDEX(SubsidieTabel!$Q$1:$T$9,MATCH($F1081,SubsidieTabel!$Q$1:$Q$9,0),IFERROR(MATCH(Methode_Keuze,SubsidieTabel!$Q$1:$T$1,0),2))&lt;&gt;1=TRUE,"ja",""),"")</f>
        <v/>
      </c>
    </row>
    <row r="1082" spans="1:27" ht="15" customHeight="1" x14ac:dyDescent="0.25">
      <c r="A1082" s="85"/>
      <c r="B1082" s="217" t="str">
        <f>IF(A1082&lt;&gt;"",_xlfn.MAXIFS($B$1:B1081,$A$1:A1081,A1082)+1,"")</f>
        <v/>
      </c>
      <c r="C1082" s="50"/>
      <c r="D1082" s="50"/>
      <c r="E1082" s="50"/>
      <c r="F1082" s="50"/>
      <c r="G1082" s="280"/>
      <c r="H1082" s="293"/>
      <c r="I1082" s="292"/>
      <c r="J1082" s="292"/>
      <c r="K1082" s="200"/>
      <c r="L1082" s="200"/>
      <c r="M1082" s="89" t="str">
        <f>IFERROR(VLOOKUP(H1082,Lijsten!$H$1:$I$100,2,0),"")</f>
        <v/>
      </c>
      <c r="N1082" s="89" t="str" cm="1">
        <f t="array" ref="N1082">IFERROR(_xlfn.IFS(AND(LEFT(F1082,6)="Arbeid",RIGHT(F1082,3)&lt;&gt;"IKS"),IFERROR(VLOOKUP($G1082,Tb_KostenTypen[],2,0),"tarief"),RIGHT(F1082,3)="IKS","Uurtarief",LEFT(F1082,6)="Arbeid","Uurtarief",AND(LEFT(F1082,8)="Bijdrage",RIGHT(F1082,15)="(vrijwilligers)"),"Vast tarief"),"")</f>
        <v/>
      </c>
      <c r="O1082" s="90"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0"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1"/>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59"/>
      <c r="Z1082" s="49"/>
      <c r="AA1082" s="37" t="str" cm="1">
        <f t="array" ref="AA1082">IFERROR(IF(INDEX(SubsidieTabel!$Q$1:$T$9,MATCH($F1082,SubsidieTabel!$Q$1:$Q$9,0),IFERROR(MATCH(Methode_Keuze,SubsidieTabel!$Q$1:$T$1,0),2))&lt;&gt;1=TRUE,"ja",""),"")</f>
        <v/>
      </c>
    </row>
    <row r="1083" spans="1:27" ht="15" customHeight="1" x14ac:dyDescent="0.25">
      <c r="A1083" s="85"/>
      <c r="B1083" s="217" t="str">
        <f>IF(A1083&lt;&gt;"",_xlfn.MAXIFS($B$1:B1082,$A$1:A1082,A1083)+1,"")</f>
        <v/>
      </c>
      <c r="C1083" s="50"/>
      <c r="D1083" s="50"/>
      <c r="E1083" s="50"/>
      <c r="F1083" s="50"/>
      <c r="G1083" s="280"/>
      <c r="H1083" s="293"/>
      <c r="I1083" s="292"/>
      <c r="J1083" s="292"/>
      <c r="K1083" s="200"/>
      <c r="L1083" s="200"/>
      <c r="M1083" s="89" t="str">
        <f>IFERROR(VLOOKUP(H1083,Lijsten!$H$1:$I$100,2,0),"")</f>
        <v/>
      </c>
      <c r="N1083" s="89" t="str" cm="1">
        <f t="array" ref="N1083">IFERROR(_xlfn.IFS(AND(LEFT(F1083,6)="Arbeid",RIGHT(F1083,3)&lt;&gt;"IKS"),IFERROR(VLOOKUP($G1083,Tb_KostenTypen[],2,0),"tarief"),RIGHT(F1083,3)="IKS","Uurtarief",LEFT(F1083,6)="Arbeid","Uurtarief",AND(LEFT(F1083,8)="Bijdrage",RIGHT(F1083,15)="(vrijwilligers)"),"Vast tarief"),"")</f>
        <v/>
      </c>
      <c r="O1083" s="90"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0"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1"/>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59"/>
      <c r="Z1083" s="49"/>
      <c r="AA1083" s="37" t="str" cm="1">
        <f t="array" ref="AA1083">IFERROR(IF(INDEX(SubsidieTabel!$Q$1:$T$9,MATCH($F1083,SubsidieTabel!$Q$1:$Q$9,0),IFERROR(MATCH(Methode_Keuze,SubsidieTabel!$Q$1:$T$1,0),2))&lt;&gt;1=TRUE,"ja",""),"")</f>
        <v/>
      </c>
    </row>
    <row r="1084" spans="1:27" ht="15" customHeight="1" x14ac:dyDescent="0.25">
      <c r="A1084" s="85"/>
      <c r="B1084" s="217" t="str">
        <f>IF(A1084&lt;&gt;"",_xlfn.MAXIFS($B$1:B1083,$A$1:A1083,A1084)+1,"")</f>
        <v/>
      </c>
      <c r="C1084" s="50"/>
      <c r="D1084" s="50"/>
      <c r="E1084" s="50"/>
      <c r="F1084" s="50"/>
      <c r="G1084" s="280"/>
      <c r="H1084" s="293"/>
      <c r="I1084" s="292"/>
      <c r="J1084" s="292"/>
      <c r="K1084" s="200"/>
      <c r="L1084" s="200"/>
      <c r="M1084" s="89" t="str">
        <f>IFERROR(VLOOKUP(H1084,Lijsten!$H$1:$I$100,2,0),"")</f>
        <v/>
      </c>
      <c r="N1084" s="89" t="str" cm="1">
        <f t="array" ref="N1084">IFERROR(_xlfn.IFS(AND(LEFT(F1084,6)="Arbeid",RIGHT(F1084,3)&lt;&gt;"IKS"),IFERROR(VLOOKUP($G1084,Tb_KostenTypen[],2,0),"tarief"),RIGHT(F1084,3)="IKS","Uurtarief",LEFT(F1084,6)="Arbeid","Uurtarief",AND(LEFT(F1084,8)="Bijdrage",RIGHT(F1084,15)="(vrijwilligers)"),"Vast tarief"),"")</f>
        <v/>
      </c>
      <c r="O1084" s="90"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0"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1"/>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59"/>
      <c r="Z1084" s="49"/>
      <c r="AA1084" s="37" t="str" cm="1">
        <f t="array" ref="AA1084">IFERROR(IF(INDEX(SubsidieTabel!$Q$1:$T$9,MATCH($F1084,SubsidieTabel!$Q$1:$Q$9,0),IFERROR(MATCH(Methode_Keuze,SubsidieTabel!$Q$1:$T$1,0),2))&lt;&gt;1=TRUE,"ja",""),"")</f>
        <v/>
      </c>
    </row>
    <row r="1085" spans="1:27" ht="15" customHeight="1" x14ac:dyDescent="0.25">
      <c r="A1085" s="85"/>
      <c r="B1085" s="217" t="str">
        <f>IF(A1085&lt;&gt;"",_xlfn.MAXIFS($B$1:B1084,$A$1:A1084,A1085)+1,"")</f>
        <v/>
      </c>
      <c r="C1085" s="50"/>
      <c r="D1085" s="50"/>
      <c r="E1085" s="50"/>
      <c r="F1085" s="50"/>
      <c r="G1085" s="280"/>
      <c r="H1085" s="293"/>
      <c r="I1085" s="292"/>
      <c r="J1085" s="292"/>
      <c r="K1085" s="200"/>
      <c r="L1085" s="200"/>
      <c r="M1085" s="89" t="str">
        <f>IFERROR(VLOOKUP(H1085,Lijsten!$H$1:$I$100,2,0),"")</f>
        <v/>
      </c>
      <c r="N1085" s="89" t="str" cm="1">
        <f t="array" ref="N1085">IFERROR(_xlfn.IFS(AND(LEFT(F1085,6)="Arbeid",RIGHT(F1085,3)&lt;&gt;"IKS"),IFERROR(VLOOKUP($G1085,Tb_KostenTypen[],2,0),"tarief"),RIGHT(F1085,3)="IKS","Uurtarief",LEFT(F1085,6)="Arbeid","Uurtarief",AND(LEFT(F1085,8)="Bijdrage",RIGHT(F1085,15)="(vrijwilligers)"),"Vast tarief"),"")</f>
        <v/>
      </c>
      <c r="O1085" s="90"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0"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1"/>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59"/>
      <c r="Z1085" s="49"/>
      <c r="AA1085" s="37" t="str" cm="1">
        <f t="array" ref="AA1085">IFERROR(IF(INDEX(SubsidieTabel!$Q$1:$T$9,MATCH($F1085,SubsidieTabel!$Q$1:$Q$9,0),IFERROR(MATCH(Methode_Keuze,SubsidieTabel!$Q$1:$T$1,0),2))&lt;&gt;1=TRUE,"ja",""),"")</f>
        <v/>
      </c>
    </row>
    <row r="1086" spans="1:27" ht="15" customHeight="1" x14ac:dyDescent="0.25">
      <c r="A1086" s="85"/>
      <c r="B1086" s="217" t="str">
        <f>IF(A1086&lt;&gt;"",_xlfn.MAXIFS($B$1:B1085,$A$1:A1085,A1086)+1,"")</f>
        <v/>
      </c>
      <c r="C1086" s="50"/>
      <c r="D1086" s="50"/>
      <c r="E1086" s="50"/>
      <c r="F1086" s="50"/>
      <c r="G1086" s="280"/>
      <c r="H1086" s="293"/>
      <c r="I1086" s="292"/>
      <c r="J1086" s="292"/>
      <c r="K1086" s="200"/>
      <c r="L1086" s="200"/>
      <c r="M1086" s="89" t="str">
        <f>IFERROR(VLOOKUP(H1086,Lijsten!$H$1:$I$100,2,0),"")</f>
        <v/>
      </c>
      <c r="N1086" s="89" t="str" cm="1">
        <f t="array" ref="N1086">IFERROR(_xlfn.IFS(AND(LEFT(F1086,6)="Arbeid",RIGHT(F1086,3)&lt;&gt;"IKS"),IFERROR(VLOOKUP($G1086,Tb_KostenTypen[],2,0),"tarief"),RIGHT(F1086,3)="IKS","Uurtarief",LEFT(F1086,6)="Arbeid","Uurtarief",AND(LEFT(F1086,8)="Bijdrage",RIGHT(F1086,15)="(vrijwilligers)"),"Vast tarief"),"")</f>
        <v/>
      </c>
      <c r="O1086" s="90"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0"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1"/>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59"/>
      <c r="Z1086" s="49"/>
      <c r="AA1086" s="37" t="str" cm="1">
        <f t="array" ref="AA1086">IFERROR(IF(INDEX(SubsidieTabel!$Q$1:$T$9,MATCH($F1086,SubsidieTabel!$Q$1:$Q$9,0),IFERROR(MATCH(Methode_Keuze,SubsidieTabel!$Q$1:$T$1,0),2))&lt;&gt;1=TRUE,"ja",""),"")</f>
        <v/>
      </c>
    </row>
    <row r="1087" spans="1:27" ht="15" customHeight="1" x14ac:dyDescent="0.25">
      <c r="A1087" s="85"/>
      <c r="B1087" s="217" t="str">
        <f>IF(A1087&lt;&gt;"",_xlfn.MAXIFS($B$1:B1086,$A$1:A1086,A1087)+1,"")</f>
        <v/>
      </c>
      <c r="C1087" s="50"/>
      <c r="D1087" s="50"/>
      <c r="E1087" s="50"/>
      <c r="F1087" s="50"/>
      <c r="G1087" s="280"/>
      <c r="H1087" s="293"/>
      <c r="I1087" s="292"/>
      <c r="J1087" s="292"/>
      <c r="K1087" s="200"/>
      <c r="L1087" s="200"/>
      <c r="M1087" s="89" t="str">
        <f>IFERROR(VLOOKUP(H1087,Lijsten!$H$1:$I$100,2,0),"")</f>
        <v/>
      </c>
      <c r="N1087" s="89" t="str" cm="1">
        <f t="array" ref="N1087">IFERROR(_xlfn.IFS(AND(LEFT(F1087,6)="Arbeid",RIGHT(F1087,3)&lt;&gt;"IKS"),IFERROR(VLOOKUP($G1087,Tb_KostenTypen[],2,0),"tarief"),RIGHT(F1087,3)="IKS","Uurtarief",LEFT(F1087,6)="Arbeid","Uurtarief",AND(LEFT(F1087,8)="Bijdrage",RIGHT(F1087,15)="(vrijwilligers)"),"Vast tarief"),"")</f>
        <v/>
      </c>
      <c r="O1087" s="90"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0"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1"/>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59"/>
      <c r="Z1087" s="49"/>
      <c r="AA1087" s="37" t="str" cm="1">
        <f t="array" ref="AA1087">IFERROR(IF(INDEX(SubsidieTabel!$Q$1:$T$9,MATCH($F1087,SubsidieTabel!$Q$1:$Q$9,0),IFERROR(MATCH(Methode_Keuze,SubsidieTabel!$Q$1:$T$1,0),2))&lt;&gt;1=TRUE,"ja",""),"")</f>
        <v/>
      </c>
    </row>
    <row r="1088" spans="1:27" ht="15" customHeight="1" x14ac:dyDescent="0.25">
      <c r="A1088" s="85"/>
      <c r="B1088" s="217" t="str">
        <f>IF(A1088&lt;&gt;"",_xlfn.MAXIFS($B$1:B1087,$A$1:A1087,A1088)+1,"")</f>
        <v/>
      </c>
      <c r="C1088" s="50"/>
      <c r="D1088" s="50"/>
      <c r="E1088" s="50"/>
      <c r="F1088" s="50"/>
      <c r="G1088" s="280"/>
      <c r="H1088" s="293"/>
      <c r="I1088" s="292"/>
      <c r="J1088" s="292"/>
      <c r="K1088" s="200"/>
      <c r="L1088" s="200"/>
      <c r="M1088" s="89" t="str">
        <f>IFERROR(VLOOKUP(H1088,Lijsten!$H$1:$I$100,2,0),"")</f>
        <v/>
      </c>
      <c r="N1088" s="89" t="str" cm="1">
        <f t="array" ref="N1088">IFERROR(_xlfn.IFS(AND(LEFT(F1088,6)="Arbeid",RIGHT(F1088,3)&lt;&gt;"IKS"),IFERROR(VLOOKUP($G1088,Tb_KostenTypen[],2,0),"tarief"),RIGHT(F1088,3)="IKS","Uurtarief",LEFT(F1088,6)="Arbeid","Uurtarief",AND(LEFT(F1088,8)="Bijdrage",RIGHT(F1088,15)="(vrijwilligers)"),"Vast tarief"),"")</f>
        <v/>
      </c>
      <c r="O1088" s="90"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0"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1"/>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59"/>
      <c r="Z1088" s="49"/>
      <c r="AA1088" s="37" t="str" cm="1">
        <f t="array" ref="AA1088">IFERROR(IF(INDEX(SubsidieTabel!$Q$1:$T$9,MATCH($F1088,SubsidieTabel!$Q$1:$Q$9,0),IFERROR(MATCH(Methode_Keuze,SubsidieTabel!$Q$1:$T$1,0),2))&lt;&gt;1=TRUE,"ja",""),"")</f>
        <v/>
      </c>
    </row>
    <row r="1089" spans="1:27" ht="15" customHeight="1" x14ac:dyDescent="0.25">
      <c r="A1089" s="85"/>
      <c r="B1089" s="217" t="str">
        <f>IF(A1089&lt;&gt;"",_xlfn.MAXIFS($B$1:B1088,$A$1:A1088,A1089)+1,"")</f>
        <v/>
      </c>
      <c r="C1089" s="50"/>
      <c r="D1089" s="50"/>
      <c r="E1089" s="50"/>
      <c r="F1089" s="50"/>
      <c r="G1089" s="280"/>
      <c r="H1089" s="293"/>
      <c r="I1089" s="292"/>
      <c r="J1089" s="292"/>
      <c r="K1089" s="200"/>
      <c r="L1089" s="200"/>
      <c r="M1089" s="89" t="str">
        <f>IFERROR(VLOOKUP(H1089,Lijsten!$H$1:$I$100,2,0),"")</f>
        <v/>
      </c>
      <c r="N1089" s="89" t="str" cm="1">
        <f t="array" ref="N1089">IFERROR(_xlfn.IFS(AND(LEFT(F1089,6)="Arbeid",RIGHT(F1089,3)&lt;&gt;"IKS"),IFERROR(VLOOKUP($G1089,Tb_KostenTypen[],2,0),"tarief"),RIGHT(F1089,3)="IKS","Uurtarief",LEFT(F1089,6)="Arbeid","Uurtarief",AND(LEFT(F1089,8)="Bijdrage",RIGHT(F1089,15)="(vrijwilligers)"),"Vast tarief"),"")</f>
        <v/>
      </c>
      <c r="O1089" s="90"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0"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1"/>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59"/>
      <c r="Z1089" s="49"/>
      <c r="AA1089" s="37" t="str" cm="1">
        <f t="array" ref="AA1089">IFERROR(IF(INDEX(SubsidieTabel!$Q$1:$T$9,MATCH($F1089,SubsidieTabel!$Q$1:$Q$9,0),IFERROR(MATCH(Methode_Keuze,SubsidieTabel!$Q$1:$T$1,0),2))&lt;&gt;1=TRUE,"ja",""),"")</f>
        <v/>
      </c>
    </row>
    <row r="1090" spans="1:27" ht="15" customHeight="1" x14ac:dyDescent="0.25">
      <c r="A1090" s="85"/>
      <c r="B1090" s="217" t="str">
        <f>IF(A1090&lt;&gt;"",_xlfn.MAXIFS($B$1:B1089,$A$1:A1089,A1090)+1,"")</f>
        <v/>
      </c>
      <c r="C1090" s="50"/>
      <c r="D1090" s="50"/>
      <c r="E1090" s="50"/>
      <c r="F1090" s="50"/>
      <c r="G1090" s="280"/>
      <c r="H1090" s="293"/>
      <c r="I1090" s="292"/>
      <c r="J1090" s="292"/>
      <c r="K1090" s="200"/>
      <c r="L1090" s="200"/>
      <c r="M1090" s="89" t="str">
        <f>IFERROR(VLOOKUP(H1090,Lijsten!$H$1:$I$100,2,0),"")</f>
        <v/>
      </c>
      <c r="N1090" s="89" t="str" cm="1">
        <f t="array" ref="N1090">IFERROR(_xlfn.IFS(AND(LEFT(F1090,6)="Arbeid",RIGHT(F1090,3)&lt;&gt;"IKS"),IFERROR(VLOOKUP($G1090,Tb_KostenTypen[],2,0),"tarief"),RIGHT(F1090,3)="IKS","Uurtarief",LEFT(F1090,6)="Arbeid","Uurtarief",AND(LEFT(F1090,8)="Bijdrage",RIGHT(F1090,15)="(vrijwilligers)"),"Vast tarief"),"")</f>
        <v/>
      </c>
      <c r="O1090" s="90"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0"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1"/>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59"/>
      <c r="Z1090" s="49"/>
      <c r="AA1090" s="37" t="str" cm="1">
        <f t="array" ref="AA1090">IFERROR(IF(INDEX(SubsidieTabel!$Q$1:$T$9,MATCH($F1090,SubsidieTabel!$Q$1:$Q$9,0),IFERROR(MATCH(Methode_Keuze,SubsidieTabel!$Q$1:$T$1,0),2))&lt;&gt;1=TRUE,"ja",""),"")</f>
        <v/>
      </c>
    </row>
    <row r="1091" spans="1:27" ht="15" customHeight="1" x14ac:dyDescent="0.25">
      <c r="A1091" s="85"/>
      <c r="B1091" s="217" t="str">
        <f>IF(A1091&lt;&gt;"",_xlfn.MAXIFS($B$1:B1090,$A$1:A1090,A1091)+1,"")</f>
        <v/>
      </c>
      <c r="C1091" s="50"/>
      <c r="D1091" s="50"/>
      <c r="E1091" s="50"/>
      <c r="F1091" s="50"/>
      <c r="G1091" s="280"/>
      <c r="H1091" s="293"/>
      <c r="I1091" s="292"/>
      <c r="J1091" s="292"/>
      <c r="K1091" s="200"/>
      <c r="L1091" s="200"/>
      <c r="M1091" s="89" t="str">
        <f>IFERROR(VLOOKUP(H1091,Lijsten!$H$1:$I$100,2,0),"")</f>
        <v/>
      </c>
      <c r="N1091" s="89" t="str" cm="1">
        <f t="array" ref="N1091">IFERROR(_xlfn.IFS(AND(LEFT(F1091,6)="Arbeid",RIGHT(F1091,3)&lt;&gt;"IKS"),IFERROR(VLOOKUP($G1091,Tb_KostenTypen[],2,0),"tarief"),RIGHT(F1091,3)="IKS","Uurtarief",LEFT(F1091,6)="Arbeid","Uurtarief",AND(LEFT(F1091,8)="Bijdrage",RIGHT(F1091,15)="(vrijwilligers)"),"Vast tarief"),"")</f>
        <v/>
      </c>
      <c r="O1091" s="90"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0"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1"/>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59"/>
      <c r="Z1091" s="49"/>
      <c r="AA1091" s="37" t="str" cm="1">
        <f t="array" ref="AA1091">IFERROR(IF(INDEX(SubsidieTabel!$Q$1:$T$9,MATCH($F1091,SubsidieTabel!$Q$1:$Q$9,0),IFERROR(MATCH(Methode_Keuze,SubsidieTabel!$Q$1:$T$1,0),2))&lt;&gt;1=TRUE,"ja",""),"")</f>
        <v/>
      </c>
    </row>
    <row r="1092" spans="1:27" ht="15" customHeight="1" x14ac:dyDescent="0.25">
      <c r="A1092" s="85"/>
      <c r="B1092" s="217" t="str">
        <f>IF(A1092&lt;&gt;"",_xlfn.MAXIFS($B$1:B1091,$A$1:A1091,A1092)+1,"")</f>
        <v/>
      </c>
      <c r="C1092" s="50"/>
      <c r="D1092" s="50"/>
      <c r="E1092" s="50"/>
      <c r="F1092" s="50"/>
      <c r="G1092" s="280"/>
      <c r="H1092" s="293"/>
      <c r="I1092" s="292"/>
      <c r="J1092" s="292"/>
      <c r="K1092" s="200"/>
      <c r="L1092" s="200"/>
      <c r="M1092" s="89" t="str">
        <f>IFERROR(VLOOKUP(H1092,Lijsten!$H$1:$I$100,2,0),"")</f>
        <v/>
      </c>
      <c r="N1092" s="89" t="str" cm="1">
        <f t="array" ref="N1092">IFERROR(_xlfn.IFS(AND(LEFT(F1092,6)="Arbeid",RIGHT(F1092,3)&lt;&gt;"IKS"),IFERROR(VLOOKUP($G1092,Tb_KostenTypen[],2,0),"tarief"),RIGHT(F1092,3)="IKS","Uurtarief",LEFT(F1092,6)="Arbeid","Uurtarief",AND(LEFT(F1092,8)="Bijdrage",RIGHT(F1092,15)="(vrijwilligers)"),"Vast tarief"),"")</f>
        <v/>
      </c>
      <c r="O1092" s="90"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0"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1"/>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59"/>
      <c r="Z1092" s="49"/>
      <c r="AA1092" s="37" t="str" cm="1">
        <f t="array" ref="AA1092">IFERROR(IF(INDEX(SubsidieTabel!$Q$1:$T$9,MATCH($F1092,SubsidieTabel!$Q$1:$Q$9,0),IFERROR(MATCH(Methode_Keuze,SubsidieTabel!$Q$1:$T$1,0),2))&lt;&gt;1=TRUE,"ja",""),"")</f>
        <v/>
      </c>
    </row>
    <row r="1093" spans="1:27" ht="15" customHeight="1" x14ac:dyDescent="0.25">
      <c r="A1093" s="85"/>
      <c r="B1093" s="217" t="str">
        <f>IF(A1093&lt;&gt;"",_xlfn.MAXIFS($B$1:B1092,$A$1:A1092,A1093)+1,"")</f>
        <v/>
      </c>
      <c r="C1093" s="50"/>
      <c r="D1093" s="50"/>
      <c r="E1093" s="50"/>
      <c r="F1093" s="50"/>
      <c r="G1093" s="280"/>
      <c r="H1093" s="293"/>
      <c r="I1093" s="292"/>
      <c r="J1093" s="292"/>
      <c r="K1093" s="200"/>
      <c r="L1093" s="200"/>
      <c r="M1093" s="89" t="str">
        <f>IFERROR(VLOOKUP(H1093,Lijsten!$H$1:$I$100,2,0),"")</f>
        <v/>
      </c>
      <c r="N1093" s="89" t="str" cm="1">
        <f t="array" ref="N1093">IFERROR(_xlfn.IFS(AND(LEFT(F1093,6)="Arbeid",RIGHT(F1093,3)&lt;&gt;"IKS"),IFERROR(VLOOKUP($G1093,Tb_KostenTypen[],2,0),"tarief"),RIGHT(F1093,3)="IKS","Uurtarief",LEFT(F1093,6)="Arbeid","Uurtarief",AND(LEFT(F1093,8)="Bijdrage",RIGHT(F1093,15)="(vrijwilligers)"),"Vast tarief"),"")</f>
        <v/>
      </c>
      <c r="O1093" s="90"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0"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1"/>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59"/>
      <c r="Z1093" s="49"/>
      <c r="AA1093" s="37" t="str" cm="1">
        <f t="array" ref="AA1093">IFERROR(IF(INDEX(SubsidieTabel!$Q$1:$T$9,MATCH($F1093,SubsidieTabel!$Q$1:$Q$9,0),IFERROR(MATCH(Methode_Keuze,SubsidieTabel!$Q$1:$T$1,0),2))&lt;&gt;1=TRUE,"ja",""),"")</f>
        <v/>
      </c>
    </row>
    <row r="1094" spans="1:27" ht="15" customHeight="1" x14ac:dyDescent="0.25">
      <c r="A1094" s="85"/>
      <c r="B1094" s="217" t="str">
        <f>IF(A1094&lt;&gt;"",_xlfn.MAXIFS($B$1:B1093,$A$1:A1093,A1094)+1,"")</f>
        <v/>
      </c>
      <c r="C1094" s="50"/>
      <c r="D1094" s="50"/>
      <c r="E1094" s="50"/>
      <c r="F1094" s="50"/>
      <c r="G1094" s="280"/>
      <c r="H1094" s="293"/>
      <c r="I1094" s="292"/>
      <c r="J1094" s="292"/>
      <c r="K1094" s="200"/>
      <c r="L1094" s="200"/>
      <c r="M1094" s="89" t="str">
        <f>IFERROR(VLOOKUP(H1094,Lijsten!$H$1:$I$100,2,0),"")</f>
        <v/>
      </c>
      <c r="N1094" s="89" t="str" cm="1">
        <f t="array" ref="N1094">IFERROR(_xlfn.IFS(AND(LEFT(F1094,6)="Arbeid",RIGHT(F1094,3)&lt;&gt;"IKS"),IFERROR(VLOOKUP($G1094,Tb_KostenTypen[],2,0),"tarief"),RIGHT(F1094,3)="IKS","Uurtarief",LEFT(F1094,6)="Arbeid","Uurtarief",AND(LEFT(F1094,8)="Bijdrage",RIGHT(F1094,15)="(vrijwilligers)"),"Vast tarief"),"")</f>
        <v/>
      </c>
      <c r="O1094" s="90"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0"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1"/>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59"/>
      <c r="Z1094" s="49"/>
      <c r="AA1094" s="37" t="str" cm="1">
        <f t="array" ref="AA1094">IFERROR(IF(INDEX(SubsidieTabel!$Q$1:$T$9,MATCH($F1094,SubsidieTabel!$Q$1:$Q$9,0),IFERROR(MATCH(Methode_Keuze,SubsidieTabel!$Q$1:$T$1,0),2))&lt;&gt;1=TRUE,"ja",""),"")</f>
        <v/>
      </c>
    </row>
    <row r="1095" spans="1:27" ht="15" customHeight="1" x14ac:dyDescent="0.25">
      <c r="A1095" s="85"/>
      <c r="B1095" s="217" t="str">
        <f>IF(A1095&lt;&gt;"",_xlfn.MAXIFS($B$1:B1094,$A$1:A1094,A1095)+1,"")</f>
        <v/>
      </c>
      <c r="C1095" s="50"/>
      <c r="D1095" s="50"/>
      <c r="E1095" s="50"/>
      <c r="F1095" s="50"/>
      <c r="G1095" s="280"/>
      <c r="H1095" s="293"/>
      <c r="I1095" s="292"/>
      <c r="J1095" s="292"/>
      <c r="K1095" s="200"/>
      <c r="L1095" s="200"/>
      <c r="M1095" s="89" t="str">
        <f>IFERROR(VLOOKUP(H1095,Lijsten!$H$1:$I$100,2,0),"")</f>
        <v/>
      </c>
      <c r="N1095" s="89" t="str" cm="1">
        <f t="array" ref="N1095">IFERROR(_xlfn.IFS(AND(LEFT(F1095,6)="Arbeid",RIGHT(F1095,3)&lt;&gt;"IKS"),IFERROR(VLOOKUP($G1095,Tb_KostenTypen[],2,0),"tarief"),RIGHT(F1095,3)="IKS","Uurtarief",LEFT(F1095,6)="Arbeid","Uurtarief",AND(LEFT(F1095,8)="Bijdrage",RIGHT(F1095,15)="(vrijwilligers)"),"Vast tarief"),"")</f>
        <v/>
      </c>
      <c r="O1095" s="90"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0"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1"/>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59"/>
      <c r="Z1095" s="49"/>
      <c r="AA1095" s="37" t="str" cm="1">
        <f t="array" ref="AA1095">IFERROR(IF(INDEX(SubsidieTabel!$Q$1:$T$9,MATCH($F1095,SubsidieTabel!$Q$1:$Q$9,0),IFERROR(MATCH(Methode_Keuze,SubsidieTabel!$Q$1:$T$1,0),2))&lt;&gt;1=TRUE,"ja",""),"")</f>
        <v/>
      </c>
    </row>
    <row r="1096" spans="1:27" ht="15" customHeight="1" x14ac:dyDescent="0.25">
      <c r="A1096" s="85"/>
      <c r="B1096" s="217" t="str">
        <f>IF(A1096&lt;&gt;"",_xlfn.MAXIFS($B$1:B1095,$A$1:A1095,A1096)+1,"")</f>
        <v/>
      </c>
      <c r="C1096" s="50"/>
      <c r="D1096" s="50"/>
      <c r="E1096" s="50"/>
      <c r="F1096" s="50"/>
      <c r="G1096" s="280"/>
      <c r="H1096" s="293"/>
      <c r="I1096" s="292"/>
      <c r="J1096" s="292"/>
      <c r="K1096" s="200"/>
      <c r="L1096" s="200"/>
      <c r="M1096" s="89" t="str">
        <f>IFERROR(VLOOKUP(H1096,Lijsten!$H$1:$I$100,2,0),"")</f>
        <v/>
      </c>
      <c r="N1096" s="89" t="str" cm="1">
        <f t="array" ref="N1096">IFERROR(_xlfn.IFS(AND(LEFT(F1096,6)="Arbeid",RIGHT(F1096,3)&lt;&gt;"IKS"),IFERROR(VLOOKUP($G1096,Tb_KostenTypen[],2,0),"tarief"),RIGHT(F1096,3)="IKS","Uurtarief",LEFT(F1096,6)="Arbeid","Uurtarief",AND(LEFT(F1096,8)="Bijdrage",RIGHT(F1096,15)="(vrijwilligers)"),"Vast tarief"),"")</f>
        <v/>
      </c>
      <c r="O1096" s="90"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0"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1"/>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59"/>
      <c r="Z1096" s="49"/>
      <c r="AA1096" s="37" t="str" cm="1">
        <f t="array" ref="AA1096">IFERROR(IF(INDEX(SubsidieTabel!$Q$1:$T$9,MATCH($F1096,SubsidieTabel!$Q$1:$Q$9,0),IFERROR(MATCH(Methode_Keuze,SubsidieTabel!$Q$1:$T$1,0),2))&lt;&gt;1=TRUE,"ja",""),"")</f>
        <v/>
      </c>
    </row>
    <row r="1097" spans="1:27" ht="15" customHeight="1" x14ac:dyDescent="0.25">
      <c r="A1097" s="85"/>
      <c r="B1097" s="217" t="str">
        <f>IF(A1097&lt;&gt;"",_xlfn.MAXIFS($B$1:B1096,$A$1:A1096,A1097)+1,"")</f>
        <v/>
      </c>
      <c r="C1097" s="50"/>
      <c r="D1097" s="50"/>
      <c r="E1097" s="50"/>
      <c r="F1097" s="50"/>
      <c r="G1097" s="280"/>
      <c r="H1097" s="293"/>
      <c r="I1097" s="292"/>
      <c r="J1097" s="292"/>
      <c r="K1097" s="200"/>
      <c r="L1097" s="200"/>
      <c r="M1097" s="89" t="str">
        <f>IFERROR(VLOOKUP(H1097,Lijsten!$H$1:$I$100,2,0),"")</f>
        <v/>
      </c>
      <c r="N1097" s="89" t="str" cm="1">
        <f t="array" ref="N1097">IFERROR(_xlfn.IFS(AND(LEFT(F1097,6)="Arbeid",RIGHT(F1097,3)&lt;&gt;"IKS"),IFERROR(VLOOKUP($G1097,Tb_KostenTypen[],2,0),"tarief"),RIGHT(F1097,3)="IKS","Uurtarief",LEFT(F1097,6)="Arbeid","Uurtarief",AND(LEFT(F1097,8)="Bijdrage",RIGHT(F1097,15)="(vrijwilligers)"),"Vast tarief"),"")</f>
        <v/>
      </c>
      <c r="O1097" s="90"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0"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1"/>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59"/>
      <c r="Z1097" s="49"/>
      <c r="AA1097" s="37" t="str" cm="1">
        <f t="array" ref="AA1097">IFERROR(IF(INDEX(SubsidieTabel!$Q$1:$T$9,MATCH($F1097,SubsidieTabel!$Q$1:$Q$9,0),IFERROR(MATCH(Methode_Keuze,SubsidieTabel!$Q$1:$T$1,0),2))&lt;&gt;1=TRUE,"ja",""),"")</f>
        <v/>
      </c>
    </row>
    <row r="1098" spans="1:27" ht="15" customHeight="1" x14ac:dyDescent="0.25">
      <c r="A1098" s="85"/>
      <c r="B1098" s="217" t="str">
        <f>IF(A1098&lt;&gt;"",_xlfn.MAXIFS($B$1:B1097,$A$1:A1097,A1098)+1,"")</f>
        <v/>
      </c>
      <c r="C1098" s="50"/>
      <c r="D1098" s="50"/>
      <c r="E1098" s="50"/>
      <c r="F1098" s="50"/>
      <c r="G1098" s="280"/>
      <c r="H1098" s="293"/>
      <c r="I1098" s="292"/>
      <c r="J1098" s="292"/>
      <c r="K1098" s="200"/>
      <c r="L1098" s="200"/>
      <c r="M1098" s="89" t="str">
        <f>IFERROR(VLOOKUP(H1098,Lijsten!$H$1:$I$100,2,0),"")</f>
        <v/>
      </c>
      <c r="N1098" s="89" t="str" cm="1">
        <f t="array" ref="N1098">IFERROR(_xlfn.IFS(AND(LEFT(F1098,6)="Arbeid",RIGHT(F1098,3)&lt;&gt;"IKS"),IFERROR(VLOOKUP($G1098,Tb_KostenTypen[],2,0),"tarief"),RIGHT(F1098,3)="IKS","Uurtarief",LEFT(F1098,6)="Arbeid","Uurtarief",AND(LEFT(F1098,8)="Bijdrage",RIGHT(F1098,15)="(vrijwilligers)"),"Vast tarief"),"")</f>
        <v/>
      </c>
      <c r="O1098" s="90"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0"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1"/>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59"/>
      <c r="Z1098" s="49"/>
      <c r="AA1098" s="37" t="str" cm="1">
        <f t="array" ref="AA1098">IFERROR(IF(INDEX(SubsidieTabel!$Q$1:$T$9,MATCH($F1098,SubsidieTabel!$Q$1:$Q$9,0),IFERROR(MATCH(Methode_Keuze,SubsidieTabel!$Q$1:$T$1,0),2))&lt;&gt;1=TRUE,"ja",""),"")</f>
        <v/>
      </c>
    </row>
    <row r="1099" spans="1:27" ht="15" customHeight="1" x14ac:dyDescent="0.25">
      <c r="A1099" s="85"/>
      <c r="B1099" s="217" t="str">
        <f>IF(A1099&lt;&gt;"",_xlfn.MAXIFS($B$1:B1098,$A$1:A1098,A1099)+1,"")</f>
        <v/>
      </c>
      <c r="C1099" s="50"/>
      <c r="D1099" s="50"/>
      <c r="E1099" s="50"/>
      <c r="F1099" s="50"/>
      <c r="G1099" s="280"/>
      <c r="H1099" s="293"/>
      <c r="I1099" s="292"/>
      <c r="J1099" s="292"/>
      <c r="K1099" s="200"/>
      <c r="L1099" s="200"/>
      <c r="M1099" s="89" t="str">
        <f>IFERROR(VLOOKUP(H1099,Lijsten!$H$1:$I$100,2,0),"")</f>
        <v/>
      </c>
      <c r="N1099" s="89" t="str" cm="1">
        <f t="array" ref="N1099">IFERROR(_xlfn.IFS(AND(LEFT(F1099,6)="Arbeid",RIGHT(F1099,3)&lt;&gt;"IKS"),IFERROR(VLOOKUP($G1099,Tb_KostenTypen[],2,0),"tarief"),RIGHT(F1099,3)="IKS","Uurtarief",LEFT(F1099,6)="Arbeid","Uurtarief",AND(LEFT(F1099,8)="Bijdrage",RIGHT(F1099,15)="(vrijwilligers)"),"Vast tarief"),"")</f>
        <v/>
      </c>
      <c r="O1099" s="90"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0"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1"/>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59"/>
      <c r="Z1099" s="49"/>
      <c r="AA1099" s="37" t="str" cm="1">
        <f t="array" ref="AA1099">IFERROR(IF(INDEX(SubsidieTabel!$Q$1:$T$9,MATCH($F1099,SubsidieTabel!$Q$1:$Q$9,0),IFERROR(MATCH(Methode_Keuze,SubsidieTabel!$Q$1:$T$1,0),2))&lt;&gt;1=TRUE,"ja",""),"")</f>
        <v/>
      </c>
    </row>
    <row r="1100" spans="1:27" ht="15" customHeight="1" x14ac:dyDescent="0.25">
      <c r="A1100" s="85"/>
      <c r="B1100" s="217" t="str">
        <f>IF(A1100&lt;&gt;"",_xlfn.MAXIFS($B$1:B1099,$A$1:A1099,A1100)+1,"")</f>
        <v/>
      </c>
      <c r="C1100" s="50"/>
      <c r="D1100" s="50"/>
      <c r="E1100" s="50"/>
      <c r="F1100" s="50"/>
      <c r="G1100" s="280"/>
      <c r="H1100" s="293"/>
      <c r="I1100" s="292"/>
      <c r="J1100" s="292"/>
      <c r="K1100" s="200"/>
      <c r="L1100" s="200"/>
      <c r="M1100" s="89" t="str">
        <f>IFERROR(VLOOKUP(H1100,Lijsten!$H$1:$I$100,2,0),"")</f>
        <v/>
      </c>
      <c r="N1100" s="89" t="str" cm="1">
        <f t="array" ref="N1100">IFERROR(_xlfn.IFS(AND(LEFT(F1100,6)="Arbeid",RIGHT(F1100,3)&lt;&gt;"IKS"),IFERROR(VLOOKUP($G1100,Tb_KostenTypen[],2,0),"tarief"),RIGHT(F1100,3)="IKS","Uurtarief",LEFT(F1100,6)="Arbeid","Uurtarief",AND(LEFT(F1100,8)="Bijdrage",RIGHT(F1100,15)="(vrijwilligers)"),"Vast tarief"),"")</f>
        <v/>
      </c>
      <c r="O1100" s="90"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0"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1"/>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59"/>
      <c r="Z1100" s="49"/>
      <c r="AA1100" s="37" t="str" cm="1">
        <f t="array" ref="AA1100">IFERROR(IF(INDEX(SubsidieTabel!$Q$1:$T$9,MATCH($F1100,SubsidieTabel!$Q$1:$Q$9,0),IFERROR(MATCH(Methode_Keuze,SubsidieTabel!$Q$1:$T$1,0),2))&lt;&gt;1=TRUE,"ja",""),"")</f>
        <v/>
      </c>
    </row>
    <row r="1101" spans="1:27" ht="15" customHeight="1" x14ac:dyDescent="0.25">
      <c r="A1101" s="85"/>
      <c r="B1101" s="217" t="str">
        <f>IF(A1101&lt;&gt;"",_xlfn.MAXIFS($B$1:B1100,$A$1:A1100,A1101)+1,"")</f>
        <v/>
      </c>
      <c r="C1101" s="50"/>
      <c r="D1101" s="50"/>
      <c r="E1101" s="50"/>
      <c r="F1101" s="50"/>
      <c r="G1101" s="280"/>
      <c r="H1101" s="293"/>
      <c r="I1101" s="292"/>
      <c r="J1101" s="292"/>
      <c r="K1101" s="200"/>
      <c r="L1101" s="200"/>
      <c r="M1101" s="89" t="str">
        <f>IFERROR(VLOOKUP(H1101,Lijsten!$H$1:$I$100,2,0),"")</f>
        <v/>
      </c>
      <c r="N1101" s="89" t="str" cm="1">
        <f t="array" ref="N1101">IFERROR(_xlfn.IFS(AND(LEFT(F1101,6)="Arbeid",RIGHT(F1101,3)&lt;&gt;"IKS"),IFERROR(VLOOKUP($G1101,Tb_KostenTypen[],2,0),"tarief"),RIGHT(F1101,3)="IKS","Uurtarief",LEFT(F1101,6)="Arbeid","Uurtarief",AND(LEFT(F1101,8)="Bijdrage",RIGHT(F1101,15)="(vrijwilligers)"),"Vast tarief"),"")</f>
        <v/>
      </c>
      <c r="O1101" s="90"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0"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1"/>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59"/>
      <c r="Z1101" s="49"/>
      <c r="AA1101" s="37" t="str" cm="1">
        <f t="array" ref="AA1101">IFERROR(IF(INDEX(SubsidieTabel!$Q$1:$T$9,MATCH($F1101,SubsidieTabel!$Q$1:$Q$9,0),IFERROR(MATCH(Methode_Keuze,SubsidieTabel!$Q$1:$T$1,0),2))&lt;&gt;1=TRUE,"ja",""),"")</f>
        <v/>
      </c>
    </row>
    <row r="1102" spans="1:27" ht="15" customHeight="1" x14ac:dyDescent="0.25">
      <c r="A1102" s="85"/>
      <c r="B1102" s="217" t="str">
        <f>IF(A1102&lt;&gt;"",_xlfn.MAXIFS($B$1:B1101,$A$1:A1101,A1102)+1,"")</f>
        <v/>
      </c>
      <c r="C1102" s="50"/>
      <c r="D1102" s="50"/>
      <c r="E1102" s="50"/>
      <c r="F1102" s="50"/>
      <c r="G1102" s="280"/>
      <c r="H1102" s="293"/>
      <c r="I1102" s="292"/>
      <c r="J1102" s="292"/>
      <c r="K1102" s="200"/>
      <c r="L1102" s="200"/>
      <c r="M1102" s="89" t="str">
        <f>IFERROR(VLOOKUP(H1102,Lijsten!$H$1:$I$100,2,0),"")</f>
        <v/>
      </c>
      <c r="N1102" s="89" t="str" cm="1">
        <f t="array" ref="N1102">IFERROR(_xlfn.IFS(AND(LEFT(F1102,6)="Arbeid",RIGHT(F1102,3)&lt;&gt;"IKS"),IFERROR(VLOOKUP($G1102,Tb_KostenTypen[],2,0),"tarief"),RIGHT(F1102,3)="IKS","Uurtarief",LEFT(F1102,6)="Arbeid","Uurtarief",AND(LEFT(F1102,8)="Bijdrage",RIGHT(F1102,15)="(vrijwilligers)"),"Vast tarief"),"")</f>
        <v/>
      </c>
      <c r="O1102" s="90"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0"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1"/>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59"/>
      <c r="Z1102" s="49"/>
      <c r="AA1102" s="37" t="str" cm="1">
        <f t="array" ref="AA1102">IFERROR(IF(INDEX(SubsidieTabel!$Q$1:$T$9,MATCH($F1102,SubsidieTabel!$Q$1:$Q$9,0),IFERROR(MATCH(Methode_Keuze,SubsidieTabel!$Q$1:$T$1,0),2))&lt;&gt;1=TRUE,"ja",""),"")</f>
        <v/>
      </c>
    </row>
    <row r="1103" spans="1:27" ht="15" customHeight="1" x14ac:dyDescent="0.25">
      <c r="A1103" s="85"/>
      <c r="B1103" s="217" t="str">
        <f>IF(A1103&lt;&gt;"",_xlfn.MAXIFS($B$1:B1102,$A$1:A1102,A1103)+1,"")</f>
        <v/>
      </c>
      <c r="C1103" s="50"/>
      <c r="D1103" s="50"/>
      <c r="E1103" s="50"/>
      <c r="F1103" s="50"/>
      <c r="G1103" s="280"/>
      <c r="H1103" s="293"/>
      <c r="I1103" s="292"/>
      <c r="J1103" s="292"/>
      <c r="K1103" s="200"/>
      <c r="L1103" s="200"/>
      <c r="M1103" s="89" t="str">
        <f>IFERROR(VLOOKUP(H1103,Lijsten!$H$1:$I$100,2,0),"")</f>
        <v/>
      </c>
      <c r="N1103" s="89" t="str" cm="1">
        <f t="array" ref="N1103">IFERROR(_xlfn.IFS(AND(LEFT(F1103,6)="Arbeid",RIGHT(F1103,3)&lt;&gt;"IKS"),IFERROR(VLOOKUP($G1103,Tb_KostenTypen[],2,0),"tarief"),RIGHT(F1103,3)="IKS","Uurtarief",LEFT(F1103,6)="Arbeid","Uurtarief",AND(LEFT(F1103,8)="Bijdrage",RIGHT(F1103,15)="(vrijwilligers)"),"Vast tarief"),"")</f>
        <v/>
      </c>
      <c r="O1103" s="90"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0"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1"/>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59"/>
      <c r="Z1103" s="49"/>
      <c r="AA1103" s="37" t="str" cm="1">
        <f t="array" ref="AA1103">IFERROR(IF(INDEX(SubsidieTabel!$Q$1:$T$9,MATCH($F1103,SubsidieTabel!$Q$1:$Q$9,0),IFERROR(MATCH(Methode_Keuze,SubsidieTabel!$Q$1:$T$1,0),2))&lt;&gt;1=TRUE,"ja",""),"")</f>
        <v/>
      </c>
    </row>
    <row r="1104" spans="1:27" ht="15" customHeight="1" x14ac:dyDescent="0.25">
      <c r="A1104" s="85"/>
      <c r="B1104" s="217" t="str">
        <f>IF(A1104&lt;&gt;"",_xlfn.MAXIFS($B$1:B1103,$A$1:A1103,A1104)+1,"")</f>
        <v/>
      </c>
      <c r="C1104" s="50"/>
      <c r="D1104" s="50"/>
      <c r="E1104" s="50"/>
      <c r="F1104" s="50"/>
      <c r="G1104" s="280"/>
      <c r="H1104" s="293"/>
      <c r="I1104" s="292"/>
      <c r="J1104" s="292"/>
      <c r="K1104" s="200"/>
      <c r="L1104" s="200"/>
      <c r="M1104" s="89" t="str">
        <f>IFERROR(VLOOKUP(H1104,Lijsten!$H$1:$I$100,2,0),"")</f>
        <v/>
      </c>
      <c r="N1104" s="89" t="str" cm="1">
        <f t="array" ref="N1104">IFERROR(_xlfn.IFS(AND(LEFT(F1104,6)="Arbeid",RIGHT(F1104,3)&lt;&gt;"IKS"),IFERROR(VLOOKUP($G1104,Tb_KostenTypen[],2,0),"tarief"),RIGHT(F1104,3)="IKS","Uurtarief",LEFT(F1104,6)="Arbeid","Uurtarief",AND(LEFT(F1104,8)="Bijdrage",RIGHT(F1104,15)="(vrijwilligers)"),"Vast tarief"),"")</f>
        <v/>
      </c>
      <c r="O1104" s="90"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0"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1"/>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59"/>
      <c r="Z1104" s="49"/>
      <c r="AA1104" s="37" t="str" cm="1">
        <f t="array" ref="AA1104">IFERROR(IF(INDEX(SubsidieTabel!$Q$1:$T$9,MATCH($F1104,SubsidieTabel!$Q$1:$Q$9,0),IFERROR(MATCH(Methode_Keuze,SubsidieTabel!$Q$1:$T$1,0),2))&lt;&gt;1=TRUE,"ja",""),"")</f>
        <v/>
      </c>
    </row>
    <row r="1105" spans="1:27" ht="15" customHeight="1" x14ac:dyDescent="0.25">
      <c r="A1105" s="85"/>
      <c r="B1105" s="217" t="str">
        <f>IF(A1105&lt;&gt;"",_xlfn.MAXIFS($B$1:B1104,$A$1:A1104,A1105)+1,"")</f>
        <v/>
      </c>
      <c r="C1105" s="50"/>
      <c r="D1105" s="50"/>
      <c r="E1105" s="50"/>
      <c r="F1105" s="50"/>
      <c r="G1105" s="280"/>
      <c r="H1105" s="293"/>
      <c r="I1105" s="292"/>
      <c r="J1105" s="292"/>
      <c r="K1105" s="200"/>
      <c r="L1105" s="200"/>
      <c r="M1105" s="89" t="str">
        <f>IFERROR(VLOOKUP(H1105,Lijsten!$H$1:$I$100,2,0),"")</f>
        <v/>
      </c>
      <c r="N1105" s="89" t="str" cm="1">
        <f t="array" ref="N1105">IFERROR(_xlfn.IFS(AND(LEFT(F1105,6)="Arbeid",RIGHT(F1105,3)&lt;&gt;"IKS"),IFERROR(VLOOKUP($G1105,Tb_KostenTypen[],2,0),"tarief"),RIGHT(F1105,3)="IKS","Uurtarief",LEFT(F1105,6)="Arbeid","Uurtarief",AND(LEFT(F1105,8)="Bijdrage",RIGHT(F1105,15)="(vrijwilligers)"),"Vast tarief"),"")</f>
        <v/>
      </c>
      <c r="O1105" s="90"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0"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1"/>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59"/>
      <c r="Z1105" s="49"/>
      <c r="AA1105" s="37" t="str" cm="1">
        <f t="array" ref="AA1105">IFERROR(IF(INDEX(SubsidieTabel!$Q$1:$T$9,MATCH($F1105,SubsidieTabel!$Q$1:$Q$9,0),IFERROR(MATCH(Methode_Keuze,SubsidieTabel!$Q$1:$T$1,0),2))&lt;&gt;1=TRUE,"ja",""),"")</f>
        <v/>
      </c>
    </row>
    <row r="1106" spans="1:27" ht="15" customHeight="1" x14ac:dyDescent="0.25">
      <c r="A1106" s="85"/>
      <c r="B1106" s="217" t="str">
        <f>IF(A1106&lt;&gt;"",_xlfn.MAXIFS($B$1:B1105,$A$1:A1105,A1106)+1,"")</f>
        <v/>
      </c>
      <c r="C1106" s="50"/>
      <c r="D1106" s="50"/>
      <c r="E1106" s="50"/>
      <c r="F1106" s="50"/>
      <c r="G1106" s="280"/>
      <c r="H1106" s="293"/>
      <c r="I1106" s="292"/>
      <c r="J1106" s="292"/>
      <c r="K1106" s="200"/>
      <c r="L1106" s="200"/>
      <c r="M1106" s="89" t="str">
        <f>IFERROR(VLOOKUP(H1106,Lijsten!$H$1:$I$100,2,0),"")</f>
        <v/>
      </c>
      <c r="N1106" s="89" t="str" cm="1">
        <f t="array" ref="N1106">IFERROR(_xlfn.IFS(AND(LEFT(F1106,6)="Arbeid",RIGHT(F1106,3)&lt;&gt;"IKS"),IFERROR(VLOOKUP($G1106,Tb_KostenTypen[],2,0),"tarief"),RIGHT(F1106,3)="IKS","Uurtarief",LEFT(F1106,6)="Arbeid","Uurtarief",AND(LEFT(F1106,8)="Bijdrage",RIGHT(F1106,15)="(vrijwilligers)"),"Vast tarief"),"")</f>
        <v/>
      </c>
      <c r="O1106" s="90"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0"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1"/>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59"/>
      <c r="Z1106" s="49"/>
      <c r="AA1106" s="37" t="str" cm="1">
        <f t="array" ref="AA1106">IFERROR(IF(INDEX(SubsidieTabel!$Q$1:$T$9,MATCH($F1106,SubsidieTabel!$Q$1:$Q$9,0),IFERROR(MATCH(Methode_Keuze,SubsidieTabel!$Q$1:$T$1,0),2))&lt;&gt;1=TRUE,"ja",""),"")</f>
        <v/>
      </c>
    </row>
    <row r="1107" spans="1:27" ht="15" customHeight="1" x14ac:dyDescent="0.25">
      <c r="A1107" s="85"/>
      <c r="B1107" s="217" t="str">
        <f>IF(A1107&lt;&gt;"",_xlfn.MAXIFS($B$1:B1106,$A$1:A1106,A1107)+1,"")</f>
        <v/>
      </c>
      <c r="C1107" s="50"/>
      <c r="D1107" s="50"/>
      <c r="E1107" s="50"/>
      <c r="F1107" s="50"/>
      <c r="G1107" s="280"/>
      <c r="H1107" s="293"/>
      <c r="I1107" s="292"/>
      <c r="J1107" s="292"/>
      <c r="K1107" s="200"/>
      <c r="L1107" s="200"/>
      <c r="M1107" s="89" t="str">
        <f>IFERROR(VLOOKUP(H1107,Lijsten!$H$1:$I$100,2,0),"")</f>
        <v/>
      </c>
      <c r="N1107" s="89" t="str" cm="1">
        <f t="array" ref="N1107">IFERROR(_xlfn.IFS(AND(LEFT(F1107,6)="Arbeid",RIGHT(F1107,3)&lt;&gt;"IKS"),IFERROR(VLOOKUP($G1107,Tb_KostenTypen[],2,0),"tarief"),RIGHT(F1107,3)="IKS","Uurtarief",LEFT(F1107,6)="Arbeid","Uurtarief",AND(LEFT(F1107,8)="Bijdrage",RIGHT(F1107,15)="(vrijwilligers)"),"Vast tarief"),"")</f>
        <v/>
      </c>
      <c r="O1107" s="90"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0"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1"/>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59"/>
      <c r="Z1107" s="49"/>
      <c r="AA1107" s="37" t="str" cm="1">
        <f t="array" ref="AA1107">IFERROR(IF(INDEX(SubsidieTabel!$Q$1:$T$9,MATCH($F1107,SubsidieTabel!$Q$1:$Q$9,0),IFERROR(MATCH(Methode_Keuze,SubsidieTabel!$Q$1:$T$1,0),2))&lt;&gt;1=TRUE,"ja",""),"")</f>
        <v/>
      </c>
    </row>
    <row r="1108" spans="1:27" ht="15" customHeight="1" x14ac:dyDescent="0.25">
      <c r="A1108" s="85"/>
      <c r="B1108" s="217" t="str">
        <f>IF(A1108&lt;&gt;"",_xlfn.MAXIFS($B$1:B1107,$A$1:A1107,A1108)+1,"")</f>
        <v/>
      </c>
      <c r="C1108" s="50"/>
      <c r="D1108" s="50"/>
      <c r="E1108" s="50"/>
      <c r="F1108" s="50"/>
      <c r="G1108" s="280"/>
      <c r="H1108" s="293"/>
      <c r="I1108" s="292"/>
      <c r="J1108" s="292"/>
      <c r="K1108" s="200"/>
      <c r="L1108" s="200"/>
      <c r="M1108" s="89" t="str">
        <f>IFERROR(VLOOKUP(H1108,Lijsten!$H$1:$I$100,2,0),"")</f>
        <v/>
      </c>
      <c r="N1108" s="89" t="str" cm="1">
        <f t="array" ref="N1108">IFERROR(_xlfn.IFS(AND(LEFT(F1108,6)="Arbeid",RIGHT(F1108,3)&lt;&gt;"IKS"),IFERROR(VLOOKUP($G1108,Tb_KostenTypen[],2,0),"tarief"),RIGHT(F1108,3)="IKS","Uurtarief",LEFT(F1108,6)="Arbeid","Uurtarief",AND(LEFT(F1108,8)="Bijdrage",RIGHT(F1108,15)="(vrijwilligers)"),"Vast tarief"),"")</f>
        <v/>
      </c>
      <c r="O1108" s="90"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0"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1"/>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59"/>
      <c r="Z1108" s="49"/>
      <c r="AA1108" s="37" t="str" cm="1">
        <f t="array" ref="AA1108">IFERROR(IF(INDEX(SubsidieTabel!$Q$1:$T$9,MATCH($F1108,SubsidieTabel!$Q$1:$Q$9,0),IFERROR(MATCH(Methode_Keuze,SubsidieTabel!$Q$1:$T$1,0),2))&lt;&gt;1=TRUE,"ja",""),"")</f>
        <v/>
      </c>
    </row>
    <row r="1109" spans="1:27" ht="15" customHeight="1" x14ac:dyDescent="0.25">
      <c r="A1109" s="85"/>
      <c r="B1109" s="217" t="str">
        <f>IF(A1109&lt;&gt;"",_xlfn.MAXIFS($B$1:B1108,$A$1:A1108,A1109)+1,"")</f>
        <v/>
      </c>
      <c r="C1109" s="50"/>
      <c r="D1109" s="50"/>
      <c r="E1109" s="50"/>
      <c r="F1109" s="50"/>
      <c r="G1109" s="280"/>
      <c r="H1109" s="293"/>
      <c r="I1109" s="292"/>
      <c r="J1109" s="292"/>
      <c r="K1109" s="200"/>
      <c r="L1109" s="200"/>
      <c r="M1109" s="89" t="str">
        <f>IFERROR(VLOOKUP(H1109,Lijsten!$H$1:$I$100,2,0),"")</f>
        <v/>
      </c>
      <c r="N1109" s="89" t="str" cm="1">
        <f t="array" ref="N1109">IFERROR(_xlfn.IFS(AND(LEFT(F1109,6)="Arbeid",RIGHT(F1109,3)&lt;&gt;"IKS"),IFERROR(VLOOKUP($G1109,Tb_KostenTypen[],2,0),"tarief"),RIGHT(F1109,3)="IKS","Uurtarief",LEFT(F1109,6)="Arbeid","Uurtarief",AND(LEFT(F1109,8)="Bijdrage",RIGHT(F1109,15)="(vrijwilligers)"),"Vast tarief"),"")</f>
        <v/>
      </c>
      <c r="O1109" s="90"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0"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1"/>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59"/>
      <c r="Z1109" s="49"/>
      <c r="AA1109" s="37" t="str" cm="1">
        <f t="array" ref="AA1109">IFERROR(IF(INDEX(SubsidieTabel!$Q$1:$T$9,MATCH($F1109,SubsidieTabel!$Q$1:$Q$9,0),IFERROR(MATCH(Methode_Keuze,SubsidieTabel!$Q$1:$T$1,0),2))&lt;&gt;1=TRUE,"ja",""),"")</f>
        <v/>
      </c>
    </row>
    <row r="1110" spans="1:27" ht="15" customHeight="1" x14ac:dyDescent="0.25">
      <c r="A1110" s="85"/>
      <c r="B1110" s="217" t="str">
        <f>IF(A1110&lt;&gt;"",_xlfn.MAXIFS($B$1:B1109,$A$1:A1109,A1110)+1,"")</f>
        <v/>
      </c>
      <c r="C1110" s="50"/>
      <c r="D1110" s="50"/>
      <c r="E1110" s="50"/>
      <c r="F1110" s="50"/>
      <c r="G1110" s="280"/>
      <c r="H1110" s="293"/>
      <c r="I1110" s="292"/>
      <c r="J1110" s="292"/>
      <c r="K1110" s="200"/>
      <c r="L1110" s="200"/>
      <c r="M1110" s="89" t="str">
        <f>IFERROR(VLOOKUP(H1110,Lijsten!$H$1:$I$100,2,0),"")</f>
        <v/>
      </c>
      <c r="N1110" s="89" t="str" cm="1">
        <f t="array" ref="N1110">IFERROR(_xlfn.IFS(AND(LEFT(F1110,6)="Arbeid",RIGHT(F1110,3)&lt;&gt;"IKS"),IFERROR(VLOOKUP($G1110,Tb_KostenTypen[],2,0),"tarief"),RIGHT(F1110,3)="IKS","Uurtarief",LEFT(F1110,6)="Arbeid","Uurtarief",AND(LEFT(F1110,8)="Bijdrage",RIGHT(F1110,15)="(vrijwilligers)"),"Vast tarief"),"")</f>
        <v/>
      </c>
      <c r="O1110" s="90"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0"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1"/>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59"/>
      <c r="Z1110" s="49"/>
      <c r="AA1110" s="37" t="str" cm="1">
        <f t="array" ref="AA1110">IFERROR(IF(INDEX(SubsidieTabel!$Q$1:$T$9,MATCH($F1110,SubsidieTabel!$Q$1:$Q$9,0),IFERROR(MATCH(Methode_Keuze,SubsidieTabel!$Q$1:$T$1,0),2))&lt;&gt;1=TRUE,"ja",""),"")</f>
        <v/>
      </c>
    </row>
    <row r="1111" spans="1:27" ht="15" customHeight="1" x14ac:dyDescent="0.25">
      <c r="A1111" s="85"/>
      <c r="B1111" s="217" t="str">
        <f>IF(A1111&lt;&gt;"",_xlfn.MAXIFS($B$1:B1110,$A$1:A1110,A1111)+1,"")</f>
        <v/>
      </c>
      <c r="C1111" s="50"/>
      <c r="D1111" s="50"/>
      <c r="E1111" s="50"/>
      <c r="F1111" s="50"/>
      <c r="G1111" s="280"/>
      <c r="H1111" s="293"/>
      <c r="I1111" s="292"/>
      <c r="J1111" s="292"/>
      <c r="K1111" s="200"/>
      <c r="L1111" s="200"/>
      <c r="M1111" s="89" t="str">
        <f>IFERROR(VLOOKUP(H1111,Lijsten!$H$1:$I$100,2,0),"")</f>
        <v/>
      </c>
      <c r="N1111" s="89" t="str" cm="1">
        <f t="array" ref="N1111">IFERROR(_xlfn.IFS(AND(LEFT(F1111,6)="Arbeid",RIGHT(F1111,3)&lt;&gt;"IKS"),IFERROR(VLOOKUP($G1111,Tb_KostenTypen[],2,0),"tarief"),RIGHT(F1111,3)="IKS","Uurtarief",LEFT(F1111,6)="Arbeid","Uurtarief",AND(LEFT(F1111,8)="Bijdrage",RIGHT(F1111,15)="(vrijwilligers)"),"Vast tarief"),"")</f>
        <v/>
      </c>
      <c r="O1111" s="90"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0"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1"/>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59"/>
      <c r="Z1111" s="49"/>
      <c r="AA1111" s="37" t="str" cm="1">
        <f t="array" ref="AA1111">IFERROR(IF(INDEX(SubsidieTabel!$Q$1:$T$9,MATCH($F1111,SubsidieTabel!$Q$1:$Q$9,0),IFERROR(MATCH(Methode_Keuze,SubsidieTabel!$Q$1:$T$1,0),2))&lt;&gt;1=TRUE,"ja",""),"")</f>
        <v/>
      </c>
    </row>
    <row r="1112" spans="1:27" ht="15" customHeight="1" x14ac:dyDescent="0.25">
      <c r="A1112" s="85"/>
      <c r="B1112" s="217" t="str">
        <f>IF(A1112&lt;&gt;"",_xlfn.MAXIFS($B$1:B1111,$A$1:A1111,A1112)+1,"")</f>
        <v/>
      </c>
      <c r="C1112" s="50"/>
      <c r="D1112" s="50"/>
      <c r="E1112" s="50"/>
      <c r="F1112" s="50"/>
      <c r="G1112" s="280"/>
      <c r="H1112" s="293"/>
      <c r="I1112" s="292"/>
      <c r="J1112" s="292"/>
      <c r="K1112" s="200"/>
      <c r="L1112" s="200"/>
      <c r="M1112" s="89" t="str">
        <f>IFERROR(VLOOKUP(H1112,Lijsten!$H$1:$I$100,2,0),"")</f>
        <v/>
      </c>
      <c r="N1112" s="89" t="str" cm="1">
        <f t="array" ref="N1112">IFERROR(_xlfn.IFS(AND(LEFT(F1112,6)="Arbeid",RIGHT(F1112,3)&lt;&gt;"IKS"),IFERROR(VLOOKUP($G1112,Tb_KostenTypen[],2,0),"tarief"),RIGHT(F1112,3)="IKS","Uurtarief",LEFT(F1112,6)="Arbeid","Uurtarief",AND(LEFT(F1112,8)="Bijdrage",RIGHT(F1112,15)="(vrijwilligers)"),"Vast tarief"),"")</f>
        <v/>
      </c>
      <c r="O1112" s="90"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0"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1"/>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59"/>
      <c r="Z1112" s="49"/>
      <c r="AA1112" s="37" t="str" cm="1">
        <f t="array" ref="AA1112">IFERROR(IF(INDEX(SubsidieTabel!$Q$1:$T$9,MATCH($F1112,SubsidieTabel!$Q$1:$Q$9,0),IFERROR(MATCH(Methode_Keuze,SubsidieTabel!$Q$1:$T$1,0),2))&lt;&gt;1=TRUE,"ja",""),"")</f>
        <v/>
      </c>
    </row>
    <row r="1113" spans="1:27" ht="15" customHeight="1" x14ac:dyDescent="0.25">
      <c r="A1113" s="85"/>
      <c r="B1113" s="217" t="str">
        <f>IF(A1113&lt;&gt;"",_xlfn.MAXIFS($B$1:B1112,$A$1:A1112,A1113)+1,"")</f>
        <v/>
      </c>
      <c r="C1113" s="50"/>
      <c r="D1113" s="50"/>
      <c r="E1113" s="50"/>
      <c r="F1113" s="50"/>
      <c r="G1113" s="280"/>
      <c r="H1113" s="293"/>
      <c r="I1113" s="292"/>
      <c r="J1113" s="292"/>
      <c r="K1113" s="200"/>
      <c r="L1113" s="200"/>
      <c r="M1113" s="89" t="str">
        <f>IFERROR(VLOOKUP(H1113,Lijsten!$H$1:$I$100,2,0),"")</f>
        <v/>
      </c>
      <c r="N1113" s="89" t="str" cm="1">
        <f t="array" ref="N1113">IFERROR(_xlfn.IFS(AND(LEFT(F1113,6)="Arbeid",RIGHT(F1113,3)&lt;&gt;"IKS"),IFERROR(VLOOKUP($G1113,Tb_KostenTypen[],2,0),"tarief"),RIGHT(F1113,3)="IKS","Uurtarief",LEFT(F1113,6)="Arbeid","Uurtarief",AND(LEFT(F1113,8)="Bijdrage",RIGHT(F1113,15)="(vrijwilligers)"),"Vast tarief"),"")</f>
        <v/>
      </c>
      <c r="O1113" s="90"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0"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1"/>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59"/>
      <c r="Z1113" s="49"/>
      <c r="AA1113" s="37" t="str" cm="1">
        <f t="array" ref="AA1113">IFERROR(IF(INDEX(SubsidieTabel!$Q$1:$T$9,MATCH($F1113,SubsidieTabel!$Q$1:$Q$9,0),IFERROR(MATCH(Methode_Keuze,SubsidieTabel!$Q$1:$T$1,0),2))&lt;&gt;1=TRUE,"ja",""),"")</f>
        <v/>
      </c>
    </row>
    <row r="1114" spans="1:27" ht="15" customHeight="1" x14ac:dyDescent="0.25">
      <c r="A1114" s="85"/>
      <c r="B1114" s="217" t="str">
        <f>IF(A1114&lt;&gt;"",_xlfn.MAXIFS($B$1:B1113,$A$1:A1113,A1114)+1,"")</f>
        <v/>
      </c>
      <c r="C1114" s="50"/>
      <c r="D1114" s="50"/>
      <c r="E1114" s="50"/>
      <c r="F1114" s="50"/>
      <c r="G1114" s="280"/>
      <c r="H1114" s="293"/>
      <c r="I1114" s="292"/>
      <c r="J1114" s="292"/>
      <c r="K1114" s="200"/>
      <c r="L1114" s="200"/>
      <c r="M1114" s="89" t="str">
        <f>IFERROR(VLOOKUP(H1114,Lijsten!$H$1:$I$100,2,0),"")</f>
        <v/>
      </c>
      <c r="N1114" s="89" t="str" cm="1">
        <f t="array" ref="N1114">IFERROR(_xlfn.IFS(AND(LEFT(F1114,6)="Arbeid",RIGHT(F1114,3)&lt;&gt;"IKS"),IFERROR(VLOOKUP($G1114,Tb_KostenTypen[],2,0),"tarief"),RIGHT(F1114,3)="IKS","Uurtarief",LEFT(F1114,6)="Arbeid","Uurtarief",AND(LEFT(F1114,8)="Bijdrage",RIGHT(F1114,15)="(vrijwilligers)"),"Vast tarief"),"")</f>
        <v/>
      </c>
      <c r="O1114" s="90"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0"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1"/>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59"/>
      <c r="Z1114" s="49"/>
      <c r="AA1114" s="37" t="str" cm="1">
        <f t="array" ref="AA1114">IFERROR(IF(INDEX(SubsidieTabel!$Q$1:$T$9,MATCH($F1114,SubsidieTabel!$Q$1:$Q$9,0),IFERROR(MATCH(Methode_Keuze,SubsidieTabel!$Q$1:$T$1,0),2))&lt;&gt;1=TRUE,"ja",""),"")</f>
        <v/>
      </c>
    </row>
    <row r="1115" spans="1:27" ht="15" customHeight="1" x14ac:dyDescent="0.25">
      <c r="A1115" s="85"/>
      <c r="B1115" s="217" t="str">
        <f>IF(A1115&lt;&gt;"",_xlfn.MAXIFS($B$1:B1114,$A$1:A1114,A1115)+1,"")</f>
        <v/>
      </c>
      <c r="C1115" s="50"/>
      <c r="D1115" s="50"/>
      <c r="E1115" s="50"/>
      <c r="F1115" s="50"/>
      <c r="G1115" s="280"/>
      <c r="H1115" s="293"/>
      <c r="I1115" s="292"/>
      <c r="J1115" s="292"/>
      <c r="K1115" s="200"/>
      <c r="L1115" s="200"/>
      <c r="M1115" s="89" t="str">
        <f>IFERROR(VLOOKUP(H1115,Lijsten!$H$1:$I$100,2,0),"")</f>
        <v/>
      </c>
      <c r="N1115" s="89" t="str" cm="1">
        <f t="array" ref="N1115">IFERROR(_xlfn.IFS(AND(LEFT(F1115,6)="Arbeid",RIGHT(F1115,3)&lt;&gt;"IKS"),IFERROR(VLOOKUP($G1115,Tb_KostenTypen[],2,0),"tarief"),RIGHT(F1115,3)="IKS","Uurtarief",LEFT(F1115,6)="Arbeid","Uurtarief",AND(LEFT(F1115,8)="Bijdrage",RIGHT(F1115,15)="(vrijwilligers)"),"Vast tarief"),"")</f>
        <v/>
      </c>
      <c r="O1115" s="90"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0"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1"/>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59"/>
      <c r="Z1115" s="49"/>
      <c r="AA1115" s="37" t="str" cm="1">
        <f t="array" ref="AA1115">IFERROR(IF(INDEX(SubsidieTabel!$Q$1:$T$9,MATCH($F1115,SubsidieTabel!$Q$1:$Q$9,0),IFERROR(MATCH(Methode_Keuze,SubsidieTabel!$Q$1:$T$1,0),2))&lt;&gt;1=TRUE,"ja",""),"")</f>
        <v/>
      </c>
    </row>
    <row r="1116" spans="1:27" ht="15" customHeight="1" x14ac:dyDescent="0.25">
      <c r="A1116" s="85"/>
      <c r="B1116" s="217" t="str">
        <f>IF(A1116&lt;&gt;"",_xlfn.MAXIFS($B$1:B1115,$A$1:A1115,A1116)+1,"")</f>
        <v/>
      </c>
      <c r="C1116" s="50"/>
      <c r="D1116" s="50"/>
      <c r="E1116" s="50"/>
      <c r="F1116" s="50"/>
      <c r="G1116" s="280"/>
      <c r="H1116" s="293"/>
      <c r="I1116" s="292"/>
      <c r="J1116" s="292"/>
      <c r="K1116" s="200"/>
      <c r="L1116" s="200"/>
      <c r="M1116" s="89" t="str">
        <f>IFERROR(VLOOKUP(H1116,Lijsten!$H$1:$I$100,2,0),"")</f>
        <v/>
      </c>
      <c r="N1116" s="89" t="str" cm="1">
        <f t="array" ref="N1116">IFERROR(_xlfn.IFS(AND(LEFT(F1116,6)="Arbeid",RIGHT(F1116,3)&lt;&gt;"IKS"),IFERROR(VLOOKUP($G1116,Tb_KostenTypen[],2,0),"tarief"),RIGHT(F1116,3)="IKS","Uurtarief",LEFT(F1116,6)="Arbeid","Uurtarief",AND(LEFT(F1116,8)="Bijdrage",RIGHT(F1116,15)="(vrijwilligers)"),"Vast tarief"),"")</f>
        <v/>
      </c>
      <c r="O1116" s="90"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0"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1"/>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59"/>
      <c r="Z1116" s="49"/>
      <c r="AA1116" s="37" t="str" cm="1">
        <f t="array" ref="AA1116">IFERROR(IF(INDEX(SubsidieTabel!$Q$1:$T$9,MATCH($F1116,SubsidieTabel!$Q$1:$Q$9,0),IFERROR(MATCH(Methode_Keuze,SubsidieTabel!$Q$1:$T$1,0),2))&lt;&gt;1=TRUE,"ja",""),"")</f>
        <v/>
      </c>
    </row>
    <row r="1117" spans="1:27" ht="15" customHeight="1" x14ac:dyDescent="0.25">
      <c r="A1117" s="85"/>
      <c r="B1117" s="217" t="str">
        <f>IF(A1117&lt;&gt;"",_xlfn.MAXIFS($B$1:B1116,$A$1:A1116,A1117)+1,"")</f>
        <v/>
      </c>
      <c r="C1117" s="50"/>
      <c r="D1117" s="50"/>
      <c r="E1117" s="50"/>
      <c r="F1117" s="50"/>
      <c r="G1117" s="280"/>
      <c r="H1117" s="293"/>
      <c r="I1117" s="292"/>
      <c r="J1117" s="292"/>
      <c r="K1117" s="200"/>
      <c r="L1117" s="200"/>
      <c r="M1117" s="89" t="str">
        <f>IFERROR(VLOOKUP(H1117,Lijsten!$H$1:$I$100,2,0),"")</f>
        <v/>
      </c>
      <c r="N1117" s="89" t="str" cm="1">
        <f t="array" ref="N1117">IFERROR(_xlfn.IFS(AND(LEFT(F1117,6)="Arbeid",RIGHT(F1117,3)&lt;&gt;"IKS"),IFERROR(VLOOKUP($G1117,Tb_KostenTypen[],2,0),"tarief"),RIGHT(F1117,3)="IKS","Uurtarief",LEFT(F1117,6)="Arbeid","Uurtarief",AND(LEFT(F1117,8)="Bijdrage",RIGHT(F1117,15)="(vrijwilligers)"),"Vast tarief"),"")</f>
        <v/>
      </c>
      <c r="O1117" s="90"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0"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1"/>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59"/>
      <c r="Z1117" s="49"/>
      <c r="AA1117" s="37" t="str" cm="1">
        <f t="array" ref="AA1117">IFERROR(IF(INDEX(SubsidieTabel!$Q$1:$T$9,MATCH($F1117,SubsidieTabel!$Q$1:$Q$9,0),IFERROR(MATCH(Methode_Keuze,SubsidieTabel!$Q$1:$T$1,0),2))&lt;&gt;1=TRUE,"ja",""),"")</f>
        <v/>
      </c>
    </row>
    <row r="1118" spans="1:27" ht="15" customHeight="1" x14ac:dyDescent="0.25">
      <c r="A1118" s="85"/>
      <c r="B1118" s="217" t="str">
        <f>IF(A1118&lt;&gt;"",_xlfn.MAXIFS($B$1:B1117,$A$1:A1117,A1118)+1,"")</f>
        <v/>
      </c>
      <c r="C1118" s="50"/>
      <c r="D1118" s="50"/>
      <c r="E1118" s="50"/>
      <c r="F1118" s="50"/>
      <c r="G1118" s="280"/>
      <c r="H1118" s="293"/>
      <c r="I1118" s="292"/>
      <c r="J1118" s="292"/>
      <c r="K1118" s="200"/>
      <c r="L1118" s="200"/>
      <c r="M1118" s="89" t="str">
        <f>IFERROR(VLOOKUP(H1118,Lijsten!$H$1:$I$100,2,0),"")</f>
        <v/>
      </c>
      <c r="N1118" s="89" t="str" cm="1">
        <f t="array" ref="N1118">IFERROR(_xlfn.IFS(AND(LEFT(F1118,6)="Arbeid",RIGHT(F1118,3)&lt;&gt;"IKS"),IFERROR(VLOOKUP($G1118,Tb_KostenTypen[],2,0),"tarief"),RIGHT(F1118,3)="IKS","Uurtarief",LEFT(F1118,6)="Arbeid","Uurtarief",AND(LEFT(F1118,8)="Bijdrage",RIGHT(F1118,15)="(vrijwilligers)"),"Vast tarief"),"")</f>
        <v/>
      </c>
      <c r="O1118" s="90"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0"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1"/>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59"/>
      <c r="Z1118" s="49"/>
      <c r="AA1118" s="37" t="str" cm="1">
        <f t="array" ref="AA1118">IFERROR(IF(INDEX(SubsidieTabel!$Q$1:$T$9,MATCH($F1118,SubsidieTabel!$Q$1:$Q$9,0),IFERROR(MATCH(Methode_Keuze,SubsidieTabel!$Q$1:$T$1,0),2))&lt;&gt;1=TRUE,"ja",""),"")</f>
        <v/>
      </c>
    </row>
    <row r="1119" spans="1:27" ht="15" customHeight="1" x14ac:dyDescent="0.25">
      <c r="A1119" s="85"/>
      <c r="B1119" s="217" t="str">
        <f>IF(A1119&lt;&gt;"",_xlfn.MAXIFS($B$1:B1118,$A$1:A1118,A1119)+1,"")</f>
        <v/>
      </c>
      <c r="C1119" s="50"/>
      <c r="D1119" s="50"/>
      <c r="E1119" s="50"/>
      <c r="F1119" s="50"/>
      <c r="G1119" s="280"/>
      <c r="H1119" s="293"/>
      <c r="I1119" s="292"/>
      <c r="J1119" s="292"/>
      <c r="K1119" s="200"/>
      <c r="L1119" s="200"/>
      <c r="M1119" s="89" t="str">
        <f>IFERROR(VLOOKUP(H1119,Lijsten!$H$1:$I$100,2,0),"")</f>
        <v/>
      </c>
      <c r="N1119" s="89" t="str" cm="1">
        <f t="array" ref="N1119">IFERROR(_xlfn.IFS(AND(LEFT(F1119,6)="Arbeid",RIGHT(F1119,3)&lt;&gt;"IKS"),IFERROR(VLOOKUP($G1119,Tb_KostenTypen[],2,0),"tarief"),RIGHT(F1119,3)="IKS","Uurtarief",LEFT(F1119,6)="Arbeid","Uurtarief",AND(LEFT(F1119,8)="Bijdrage",RIGHT(F1119,15)="(vrijwilligers)"),"Vast tarief"),"")</f>
        <v/>
      </c>
      <c r="O1119" s="90"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0"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1"/>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59"/>
      <c r="Z1119" s="49"/>
      <c r="AA1119" s="37" t="str" cm="1">
        <f t="array" ref="AA1119">IFERROR(IF(INDEX(SubsidieTabel!$Q$1:$T$9,MATCH($F1119,SubsidieTabel!$Q$1:$Q$9,0),IFERROR(MATCH(Methode_Keuze,SubsidieTabel!$Q$1:$T$1,0),2))&lt;&gt;1=TRUE,"ja",""),"")</f>
        <v/>
      </c>
    </row>
    <row r="1120" spans="1:27" ht="15" customHeight="1" x14ac:dyDescent="0.25">
      <c r="A1120" s="85"/>
      <c r="B1120" s="217" t="str">
        <f>IF(A1120&lt;&gt;"",_xlfn.MAXIFS($B$1:B1119,$A$1:A1119,A1120)+1,"")</f>
        <v/>
      </c>
      <c r="C1120" s="50"/>
      <c r="D1120" s="50"/>
      <c r="E1120" s="50"/>
      <c r="F1120" s="50"/>
      <c r="G1120" s="280"/>
      <c r="H1120" s="293"/>
      <c r="I1120" s="292"/>
      <c r="J1120" s="292"/>
      <c r="K1120" s="200"/>
      <c r="L1120" s="200"/>
      <c r="M1120" s="89" t="str">
        <f>IFERROR(VLOOKUP(H1120,Lijsten!$H$1:$I$100,2,0),"")</f>
        <v/>
      </c>
      <c r="N1120" s="89" t="str" cm="1">
        <f t="array" ref="N1120">IFERROR(_xlfn.IFS(AND(LEFT(F1120,6)="Arbeid",RIGHT(F1120,3)&lt;&gt;"IKS"),IFERROR(VLOOKUP($G1120,Tb_KostenTypen[],2,0),"tarief"),RIGHT(F1120,3)="IKS","Uurtarief",LEFT(F1120,6)="Arbeid","Uurtarief",AND(LEFT(F1120,8)="Bijdrage",RIGHT(F1120,15)="(vrijwilligers)"),"Vast tarief"),"")</f>
        <v/>
      </c>
      <c r="O1120" s="90"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0"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1"/>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59"/>
      <c r="Z1120" s="49"/>
      <c r="AA1120" s="37" t="str" cm="1">
        <f t="array" ref="AA1120">IFERROR(IF(INDEX(SubsidieTabel!$Q$1:$T$9,MATCH($F1120,SubsidieTabel!$Q$1:$Q$9,0),IFERROR(MATCH(Methode_Keuze,SubsidieTabel!$Q$1:$T$1,0),2))&lt;&gt;1=TRUE,"ja",""),"")</f>
        <v/>
      </c>
    </row>
    <row r="1121" spans="1:27" ht="15" customHeight="1" x14ac:dyDescent="0.25">
      <c r="A1121" s="85"/>
      <c r="B1121" s="217" t="str">
        <f>IF(A1121&lt;&gt;"",_xlfn.MAXIFS($B$1:B1120,$A$1:A1120,A1121)+1,"")</f>
        <v/>
      </c>
      <c r="C1121" s="50"/>
      <c r="D1121" s="50"/>
      <c r="E1121" s="50"/>
      <c r="F1121" s="50"/>
      <c r="G1121" s="280"/>
      <c r="H1121" s="293"/>
      <c r="I1121" s="292"/>
      <c r="J1121" s="292"/>
      <c r="K1121" s="200"/>
      <c r="L1121" s="200"/>
      <c r="M1121" s="89" t="str">
        <f>IFERROR(VLOOKUP(H1121,Lijsten!$H$1:$I$100,2,0),"")</f>
        <v/>
      </c>
      <c r="N1121" s="89" t="str" cm="1">
        <f t="array" ref="N1121">IFERROR(_xlfn.IFS(AND(LEFT(F1121,6)="Arbeid",RIGHT(F1121,3)&lt;&gt;"IKS"),IFERROR(VLOOKUP($G1121,Tb_KostenTypen[],2,0),"tarief"),RIGHT(F1121,3)="IKS","Uurtarief",LEFT(F1121,6)="Arbeid","Uurtarief",AND(LEFT(F1121,8)="Bijdrage",RIGHT(F1121,15)="(vrijwilligers)"),"Vast tarief"),"")</f>
        <v/>
      </c>
      <c r="O1121" s="90"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0"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1"/>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59"/>
      <c r="Z1121" s="49"/>
      <c r="AA1121" s="37" t="str" cm="1">
        <f t="array" ref="AA1121">IFERROR(IF(INDEX(SubsidieTabel!$Q$1:$T$9,MATCH($F1121,SubsidieTabel!$Q$1:$Q$9,0),IFERROR(MATCH(Methode_Keuze,SubsidieTabel!$Q$1:$T$1,0),2))&lt;&gt;1=TRUE,"ja",""),"")</f>
        <v/>
      </c>
    </row>
    <row r="1122" spans="1:27" ht="15" customHeight="1" x14ac:dyDescent="0.25">
      <c r="A1122" s="85"/>
      <c r="B1122" s="217" t="str">
        <f>IF(A1122&lt;&gt;"",_xlfn.MAXIFS($B$1:B1121,$A$1:A1121,A1122)+1,"")</f>
        <v/>
      </c>
      <c r="C1122" s="50"/>
      <c r="D1122" s="50"/>
      <c r="E1122" s="50"/>
      <c r="F1122" s="50"/>
      <c r="G1122" s="280"/>
      <c r="H1122" s="293"/>
      <c r="I1122" s="292"/>
      <c r="J1122" s="292"/>
      <c r="K1122" s="200"/>
      <c r="L1122" s="200"/>
      <c r="M1122" s="89" t="str">
        <f>IFERROR(VLOOKUP(H1122,Lijsten!$H$1:$I$100,2,0),"")</f>
        <v/>
      </c>
      <c r="N1122" s="89" t="str" cm="1">
        <f t="array" ref="N1122">IFERROR(_xlfn.IFS(AND(LEFT(F1122,6)="Arbeid",RIGHT(F1122,3)&lt;&gt;"IKS"),IFERROR(VLOOKUP($G1122,Tb_KostenTypen[],2,0),"tarief"),RIGHT(F1122,3)="IKS","Uurtarief",LEFT(F1122,6)="Arbeid","Uurtarief",AND(LEFT(F1122,8)="Bijdrage",RIGHT(F1122,15)="(vrijwilligers)"),"Vast tarief"),"")</f>
        <v/>
      </c>
      <c r="O1122" s="90"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0"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1"/>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59"/>
      <c r="Z1122" s="49"/>
      <c r="AA1122" s="37" t="str" cm="1">
        <f t="array" ref="AA1122">IFERROR(IF(INDEX(SubsidieTabel!$Q$1:$T$9,MATCH($F1122,SubsidieTabel!$Q$1:$Q$9,0),IFERROR(MATCH(Methode_Keuze,SubsidieTabel!$Q$1:$T$1,0),2))&lt;&gt;1=TRUE,"ja",""),"")</f>
        <v/>
      </c>
    </row>
    <row r="1123" spans="1:27" ht="15" customHeight="1" x14ac:dyDescent="0.25">
      <c r="A1123" s="85"/>
      <c r="B1123" s="217" t="str">
        <f>IF(A1123&lt;&gt;"",_xlfn.MAXIFS($B$1:B1122,$A$1:A1122,A1123)+1,"")</f>
        <v/>
      </c>
      <c r="C1123" s="50"/>
      <c r="D1123" s="50"/>
      <c r="E1123" s="50"/>
      <c r="F1123" s="50"/>
      <c r="G1123" s="280"/>
      <c r="H1123" s="293"/>
      <c r="I1123" s="292"/>
      <c r="J1123" s="292"/>
      <c r="K1123" s="200"/>
      <c r="L1123" s="200"/>
      <c r="M1123" s="89" t="str">
        <f>IFERROR(VLOOKUP(H1123,Lijsten!$H$1:$I$100,2,0),"")</f>
        <v/>
      </c>
      <c r="N1123" s="89" t="str" cm="1">
        <f t="array" ref="N1123">IFERROR(_xlfn.IFS(AND(LEFT(F1123,6)="Arbeid",RIGHT(F1123,3)&lt;&gt;"IKS"),IFERROR(VLOOKUP($G1123,Tb_KostenTypen[],2,0),"tarief"),RIGHT(F1123,3)="IKS","Uurtarief",LEFT(F1123,6)="Arbeid","Uurtarief",AND(LEFT(F1123,8)="Bijdrage",RIGHT(F1123,15)="(vrijwilligers)"),"Vast tarief"),"")</f>
        <v/>
      </c>
      <c r="O1123" s="90"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0"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1"/>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59"/>
      <c r="Z1123" s="49"/>
      <c r="AA1123" s="37" t="str" cm="1">
        <f t="array" ref="AA1123">IFERROR(IF(INDEX(SubsidieTabel!$Q$1:$T$9,MATCH($F1123,SubsidieTabel!$Q$1:$Q$9,0),IFERROR(MATCH(Methode_Keuze,SubsidieTabel!$Q$1:$T$1,0),2))&lt;&gt;1=TRUE,"ja",""),"")</f>
        <v/>
      </c>
    </row>
    <row r="1124" spans="1:27" ht="15" customHeight="1" x14ac:dyDescent="0.25">
      <c r="A1124" s="85"/>
      <c r="B1124" s="217" t="str">
        <f>IF(A1124&lt;&gt;"",_xlfn.MAXIFS($B$1:B1123,$A$1:A1123,A1124)+1,"")</f>
        <v/>
      </c>
      <c r="C1124" s="50"/>
      <c r="D1124" s="50"/>
      <c r="E1124" s="50"/>
      <c r="F1124" s="50"/>
      <c r="G1124" s="280"/>
      <c r="H1124" s="293"/>
      <c r="I1124" s="292"/>
      <c r="J1124" s="292"/>
      <c r="K1124" s="200"/>
      <c r="L1124" s="200"/>
      <c r="M1124" s="89" t="str">
        <f>IFERROR(VLOOKUP(H1124,Lijsten!$H$1:$I$100,2,0),"")</f>
        <v/>
      </c>
      <c r="N1124" s="89" t="str" cm="1">
        <f t="array" ref="N1124">IFERROR(_xlfn.IFS(AND(LEFT(F1124,6)="Arbeid",RIGHT(F1124,3)&lt;&gt;"IKS"),IFERROR(VLOOKUP($G1124,Tb_KostenTypen[],2,0),"tarief"),RIGHT(F1124,3)="IKS","Uurtarief",LEFT(F1124,6)="Arbeid","Uurtarief",AND(LEFT(F1124,8)="Bijdrage",RIGHT(F1124,15)="(vrijwilligers)"),"Vast tarief"),"")</f>
        <v/>
      </c>
      <c r="O1124" s="90"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0"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1"/>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59"/>
      <c r="Z1124" s="49"/>
      <c r="AA1124" s="37" t="str" cm="1">
        <f t="array" ref="AA1124">IFERROR(IF(INDEX(SubsidieTabel!$Q$1:$T$9,MATCH($F1124,SubsidieTabel!$Q$1:$Q$9,0),IFERROR(MATCH(Methode_Keuze,SubsidieTabel!$Q$1:$T$1,0),2))&lt;&gt;1=TRUE,"ja",""),"")</f>
        <v/>
      </c>
    </row>
    <row r="1125" spans="1:27" ht="15" customHeight="1" x14ac:dyDescent="0.25">
      <c r="A1125" s="85"/>
      <c r="B1125" s="217" t="str">
        <f>IF(A1125&lt;&gt;"",_xlfn.MAXIFS($B$1:B1124,$A$1:A1124,A1125)+1,"")</f>
        <v/>
      </c>
      <c r="C1125" s="50"/>
      <c r="D1125" s="50"/>
      <c r="E1125" s="50"/>
      <c r="F1125" s="50"/>
      <c r="G1125" s="280"/>
      <c r="H1125" s="293"/>
      <c r="I1125" s="292"/>
      <c r="J1125" s="292"/>
      <c r="K1125" s="200"/>
      <c r="L1125" s="200"/>
      <c r="M1125" s="89" t="str">
        <f>IFERROR(VLOOKUP(H1125,Lijsten!$H$1:$I$100,2,0),"")</f>
        <v/>
      </c>
      <c r="N1125" s="89" t="str" cm="1">
        <f t="array" ref="N1125">IFERROR(_xlfn.IFS(AND(LEFT(F1125,6)="Arbeid",RIGHT(F1125,3)&lt;&gt;"IKS"),IFERROR(VLOOKUP($G1125,Tb_KostenTypen[],2,0),"tarief"),RIGHT(F1125,3)="IKS","Uurtarief",LEFT(F1125,6)="Arbeid","Uurtarief",AND(LEFT(F1125,8)="Bijdrage",RIGHT(F1125,15)="(vrijwilligers)"),"Vast tarief"),"")</f>
        <v/>
      </c>
      <c r="O1125" s="90"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0"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1"/>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59"/>
      <c r="Z1125" s="49"/>
      <c r="AA1125" s="37" t="str" cm="1">
        <f t="array" ref="AA1125">IFERROR(IF(INDEX(SubsidieTabel!$Q$1:$T$9,MATCH($F1125,SubsidieTabel!$Q$1:$Q$9,0),IFERROR(MATCH(Methode_Keuze,SubsidieTabel!$Q$1:$T$1,0),2))&lt;&gt;1=TRUE,"ja",""),"")</f>
        <v/>
      </c>
    </row>
    <row r="1126" spans="1:27" ht="15" customHeight="1" x14ac:dyDescent="0.25">
      <c r="A1126" s="85"/>
      <c r="B1126" s="217" t="str">
        <f>IF(A1126&lt;&gt;"",_xlfn.MAXIFS($B$1:B1125,$A$1:A1125,A1126)+1,"")</f>
        <v/>
      </c>
      <c r="C1126" s="50"/>
      <c r="D1126" s="50"/>
      <c r="E1126" s="50"/>
      <c r="F1126" s="50"/>
      <c r="G1126" s="280"/>
      <c r="H1126" s="293"/>
      <c r="I1126" s="292"/>
      <c r="J1126" s="292"/>
      <c r="K1126" s="200"/>
      <c r="L1126" s="200"/>
      <c r="M1126" s="89" t="str">
        <f>IFERROR(VLOOKUP(H1126,Lijsten!$H$1:$I$100,2,0),"")</f>
        <v/>
      </c>
      <c r="N1126" s="89" t="str" cm="1">
        <f t="array" ref="N1126">IFERROR(_xlfn.IFS(AND(LEFT(F1126,6)="Arbeid",RIGHT(F1126,3)&lt;&gt;"IKS"),IFERROR(VLOOKUP($G1126,Tb_KostenTypen[],2,0),"tarief"),RIGHT(F1126,3)="IKS","Uurtarief",LEFT(F1126,6)="Arbeid","Uurtarief",AND(LEFT(F1126,8)="Bijdrage",RIGHT(F1126,15)="(vrijwilligers)"),"Vast tarief"),"")</f>
        <v/>
      </c>
      <c r="O1126" s="90"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0"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1"/>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59"/>
      <c r="Z1126" s="49"/>
      <c r="AA1126" s="37" t="str" cm="1">
        <f t="array" ref="AA1126">IFERROR(IF(INDEX(SubsidieTabel!$Q$1:$T$9,MATCH($F1126,SubsidieTabel!$Q$1:$Q$9,0),IFERROR(MATCH(Methode_Keuze,SubsidieTabel!$Q$1:$T$1,0),2))&lt;&gt;1=TRUE,"ja",""),"")</f>
        <v/>
      </c>
    </row>
    <row r="1127" spans="1:27" ht="15" customHeight="1" x14ac:dyDescent="0.25">
      <c r="A1127" s="85"/>
      <c r="B1127" s="217" t="str">
        <f>IF(A1127&lt;&gt;"",_xlfn.MAXIFS($B$1:B1126,$A$1:A1126,A1127)+1,"")</f>
        <v/>
      </c>
      <c r="C1127" s="50"/>
      <c r="D1127" s="50"/>
      <c r="E1127" s="50"/>
      <c r="F1127" s="50"/>
      <c r="G1127" s="280"/>
      <c r="H1127" s="293"/>
      <c r="I1127" s="292"/>
      <c r="J1127" s="292"/>
      <c r="K1127" s="200"/>
      <c r="L1127" s="200"/>
      <c r="M1127" s="89" t="str">
        <f>IFERROR(VLOOKUP(H1127,Lijsten!$H$1:$I$100,2,0),"")</f>
        <v/>
      </c>
      <c r="N1127" s="89" t="str" cm="1">
        <f t="array" ref="N1127">IFERROR(_xlfn.IFS(AND(LEFT(F1127,6)="Arbeid",RIGHT(F1127,3)&lt;&gt;"IKS"),IFERROR(VLOOKUP($G1127,Tb_KostenTypen[],2,0),"tarief"),RIGHT(F1127,3)="IKS","Uurtarief",LEFT(F1127,6)="Arbeid","Uurtarief",AND(LEFT(F1127,8)="Bijdrage",RIGHT(F1127,15)="(vrijwilligers)"),"Vast tarief"),"")</f>
        <v/>
      </c>
      <c r="O1127" s="90"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0"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1"/>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59"/>
      <c r="Z1127" s="49"/>
      <c r="AA1127" s="37" t="str" cm="1">
        <f t="array" ref="AA1127">IFERROR(IF(INDEX(SubsidieTabel!$Q$1:$T$9,MATCH($F1127,SubsidieTabel!$Q$1:$Q$9,0),IFERROR(MATCH(Methode_Keuze,SubsidieTabel!$Q$1:$T$1,0),2))&lt;&gt;1=TRUE,"ja",""),"")</f>
        <v/>
      </c>
    </row>
    <row r="1128" spans="1:27" ht="15" customHeight="1" x14ac:dyDescent="0.25">
      <c r="A1128" s="85"/>
      <c r="B1128" s="217" t="str">
        <f>IF(A1128&lt;&gt;"",_xlfn.MAXIFS($B$1:B1127,$A$1:A1127,A1128)+1,"")</f>
        <v/>
      </c>
      <c r="C1128" s="50"/>
      <c r="D1128" s="50"/>
      <c r="E1128" s="50"/>
      <c r="F1128" s="50"/>
      <c r="G1128" s="280"/>
      <c r="H1128" s="293"/>
      <c r="I1128" s="292"/>
      <c r="J1128" s="292"/>
      <c r="K1128" s="200"/>
      <c r="L1128" s="200"/>
      <c r="M1128" s="89" t="str">
        <f>IFERROR(VLOOKUP(H1128,Lijsten!$H$1:$I$100,2,0),"")</f>
        <v/>
      </c>
      <c r="N1128" s="89" t="str" cm="1">
        <f t="array" ref="N1128">IFERROR(_xlfn.IFS(AND(LEFT(F1128,6)="Arbeid",RIGHT(F1128,3)&lt;&gt;"IKS"),IFERROR(VLOOKUP($G1128,Tb_KostenTypen[],2,0),"tarief"),RIGHT(F1128,3)="IKS","Uurtarief",LEFT(F1128,6)="Arbeid","Uurtarief",AND(LEFT(F1128,8)="Bijdrage",RIGHT(F1128,15)="(vrijwilligers)"),"Vast tarief"),"")</f>
        <v/>
      </c>
      <c r="O1128" s="90"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0"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1"/>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59"/>
      <c r="Z1128" s="49"/>
      <c r="AA1128" s="37" t="str" cm="1">
        <f t="array" ref="AA1128">IFERROR(IF(INDEX(SubsidieTabel!$Q$1:$T$9,MATCH($F1128,SubsidieTabel!$Q$1:$Q$9,0),IFERROR(MATCH(Methode_Keuze,SubsidieTabel!$Q$1:$T$1,0),2))&lt;&gt;1=TRUE,"ja",""),"")</f>
        <v/>
      </c>
    </row>
    <row r="1129" spans="1:27" ht="15" customHeight="1" x14ac:dyDescent="0.25">
      <c r="A1129" s="85"/>
      <c r="B1129" s="217" t="str">
        <f>IF(A1129&lt;&gt;"",_xlfn.MAXIFS($B$1:B1128,$A$1:A1128,A1129)+1,"")</f>
        <v/>
      </c>
      <c r="C1129" s="50"/>
      <c r="D1129" s="50"/>
      <c r="E1129" s="50"/>
      <c r="F1129" s="50"/>
      <c r="G1129" s="280"/>
      <c r="H1129" s="293"/>
      <c r="I1129" s="292"/>
      <c r="J1129" s="292"/>
      <c r="K1129" s="200"/>
      <c r="L1129" s="200"/>
      <c r="M1129" s="89" t="str">
        <f>IFERROR(VLOOKUP(H1129,Lijsten!$H$1:$I$100,2,0),"")</f>
        <v/>
      </c>
      <c r="N1129" s="89" t="str" cm="1">
        <f t="array" ref="N1129">IFERROR(_xlfn.IFS(AND(LEFT(F1129,6)="Arbeid",RIGHT(F1129,3)&lt;&gt;"IKS"),IFERROR(VLOOKUP($G1129,Tb_KostenTypen[],2,0),"tarief"),RIGHT(F1129,3)="IKS","Uurtarief",LEFT(F1129,6)="Arbeid","Uurtarief",AND(LEFT(F1129,8)="Bijdrage",RIGHT(F1129,15)="(vrijwilligers)"),"Vast tarief"),"")</f>
        <v/>
      </c>
      <c r="O1129" s="90"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0"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1"/>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59"/>
      <c r="Z1129" s="49"/>
      <c r="AA1129" s="37" t="str" cm="1">
        <f t="array" ref="AA1129">IFERROR(IF(INDEX(SubsidieTabel!$Q$1:$T$9,MATCH($F1129,SubsidieTabel!$Q$1:$Q$9,0),IFERROR(MATCH(Methode_Keuze,SubsidieTabel!$Q$1:$T$1,0),2))&lt;&gt;1=TRUE,"ja",""),"")</f>
        <v/>
      </c>
    </row>
    <row r="1130" spans="1:27" ht="15" customHeight="1" x14ac:dyDescent="0.25">
      <c r="A1130" s="85"/>
      <c r="B1130" s="217" t="str">
        <f>IF(A1130&lt;&gt;"",_xlfn.MAXIFS($B$1:B1129,$A$1:A1129,A1130)+1,"")</f>
        <v/>
      </c>
      <c r="C1130" s="50"/>
      <c r="D1130" s="50"/>
      <c r="E1130" s="50"/>
      <c r="F1130" s="50"/>
      <c r="G1130" s="280"/>
      <c r="H1130" s="293"/>
      <c r="I1130" s="292"/>
      <c r="J1130" s="292"/>
      <c r="K1130" s="200"/>
      <c r="L1130" s="200"/>
      <c r="M1130" s="89" t="str">
        <f>IFERROR(VLOOKUP(H1130,Lijsten!$H$1:$I$100,2,0),"")</f>
        <v/>
      </c>
      <c r="N1130" s="89" t="str" cm="1">
        <f t="array" ref="N1130">IFERROR(_xlfn.IFS(AND(LEFT(F1130,6)="Arbeid",RIGHT(F1130,3)&lt;&gt;"IKS"),IFERROR(VLOOKUP($G1130,Tb_KostenTypen[],2,0),"tarief"),RIGHT(F1130,3)="IKS","Uurtarief",LEFT(F1130,6)="Arbeid","Uurtarief",AND(LEFT(F1130,8)="Bijdrage",RIGHT(F1130,15)="(vrijwilligers)"),"Vast tarief"),"")</f>
        <v/>
      </c>
      <c r="O1130" s="90"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0"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1"/>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59"/>
      <c r="Z1130" s="49"/>
      <c r="AA1130" s="37" t="str" cm="1">
        <f t="array" ref="AA1130">IFERROR(IF(INDEX(SubsidieTabel!$Q$1:$T$9,MATCH($F1130,SubsidieTabel!$Q$1:$Q$9,0),IFERROR(MATCH(Methode_Keuze,SubsidieTabel!$Q$1:$T$1,0),2))&lt;&gt;1=TRUE,"ja",""),"")</f>
        <v/>
      </c>
    </row>
    <row r="1131" spans="1:27" ht="15" customHeight="1" x14ac:dyDescent="0.25">
      <c r="A1131" s="85"/>
      <c r="B1131" s="217" t="str">
        <f>IF(A1131&lt;&gt;"",_xlfn.MAXIFS($B$1:B1130,$A$1:A1130,A1131)+1,"")</f>
        <v/>
      </c>
      <c r="C1131" s="50"/>
      <c r="D1131" s="50"/>
      <c r="E1131" s="50"/>
      <c r="F1131" s="50"/>
      <c r="G1131" s="280"/>
      <c r="H1131" s="293"/>
      <c r="I1131" s="292"/>
      <c r="J1131" s="292"/>
      <c r="K1131" s="200"/>
      <c r="L1131" s="200"/>
      <c r="M1131" s="89" t="str">
        <f>IFERROR(VLOOKUP(H1131,Lijsten!$H$1:$I$100,2,0),"")</f>
        <v/>
      </c>
      <c r="N1131" s="89" t="str" cm="1">
        <f t="array" ref="N1131">IFERROR(_xlfn.IFS(AND(LEFT(F1131,6)="Arbeid",RIGHT(F1131,3)&lt;&gt;"IKS"),IFERROR(VLOOKUP($G1131,Tb_KostenTypen[],2,0),"tarief"),RIGHT(F1131,3)="IKS","Uurtarief",LEFT(F1131,6)="Arbeid","Uurtarief",AND(LEFT(F1131,8)="Bijdrage",RIGHT(F1131,15)="(vrijwilligers)"),"Vast tarief"),"")</f>
        <v/>
      </c>
      <c r="O1131" s="90"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0"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1"/>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59"/>
      <c r="Z1131" s="49"/>
      <c r="AA1131" s="37" t="str" cm="1">
        <f t="array" ref="AA1131">IFERROR(IF(INDEX(SubsidieTabel!$Q$1:$T$9,MATCH($F1131,SubsidieTabel!$Q$1:$Q$9,0),IFERROR(MATCH(Methode_Keuze,SubsidieTabel!$Q$1:$T$1,0),2))&lt;&gt;1=TRUE,"ja",""),"")</f>
        <v/>
      </c>
    </row>
    <row r="1132" spans="1:27" ht="15" customHeight="1" x14ac:dyDescent="0.25">
      <c r="A1132" s="85"/>
      <c r="B1132" s="217" t="str">
        <f>IF(A1132&lt;&gt;"",_xlfn.MAXIFS($B$1:B1131,$A$1:A1131,A1132)+1,"")</f>
        <v/>
      </c>
      <c r="C1132" s="50"/>
      <c r="D1132" s="50"/>
      <c r="E1132" s="50"/>
      <c r="F1132" s="50"/>
      <c r="G1132" s="280"/>
      <c r="H1132" s="293"/>
      <c r="I1132" s="292"/>
      <c r="J1132" s="292"/>
      <c r="K1132" s="200"/>
      <c r="L1132" s="200"/>
      <c r="M1132" s="89" t="str">
        <f>IFERROR(VLOOKUP(H1132,Lijsten!$H$1:$I$100,2,0),"")</f>
        <v/>
      </c>
      <c r="N1132" s="89" t="str" cm="1">
        <f t="array" ref="N1132">IFERROR(_xlfn.IFS(AND(LEFT(F1132,6)="Arbeid",RIGHT(F1132,3)&lt;&gt;"IKS"),IFERROR(VLOOKUP($G1132,Tb_KostenTypen[],2,0),"tarief"),RIGHT(F1132,3)="IKS","Uurtarief",LEFT(F1132,6)="Arbeid","Uurtarief",AND(LEFT(F1132,8)="Bijdrage",RIGHT(F1132,15)="(vrijwilligers)"),"Vast tarief"),"")</f>
        <v/>
      </c>
      <c r="O1132" s="90"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0"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1"/>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59"/>
      <c r="Z1132" s="49"/>
      <c r="AA1132" s="37" t="str" cm="1">
        <f t="array" ref="AA1132">IFERROR(IF(INDEX(SubsidieTabel!$Q$1:$T$9,MATCH($F1132,SubsidieTabel!$Q$1:$Q$9,0),IFERROR(MATCH(Methode_Keuze,SubsidieTabel!$Q$1:$T$1,0),2))&lt;&gt;1=TRUE,"ja",""),"")</f>
        <v/>
      </c>
    </row>
    <row r="1133" spans="1:27" ht="15" customHeight="1" x14ac:dyDescent="0.25">
      <c r="A1133" s="85"/>
      <c r="B1133" s="217" t="str">
        <f>IF(A1133&lt;&gt;"",_xlfn.MAXIFS($B$1:B1132,$A$1:A1132,A1133)+1,"")</f>
        <v/>
      </c>
      <c r="C1133" s="50"/>
      <c r="D1133" s="50"/>
      <c r="E1133" s="50"/>
      <c r="F1133" s="50"/>
      <c r="G1133" s="280"/>
      <c r="H1133" s="293"/>
      <c r="I1133" s="292"/>
      <c r="J1133" s="292"/>
      <c r="K1133" s="200"/>
      <c r="L1133" s="200"/>
      <c r="M1133" s="89" t="str">
        <f>IFERROR(VLOOKUP(H1133,Lijsten!$H$1:$I$100,2,0),"")</f>
        <v/>
      </c>
      <c r="N1133" s="89" t="str" cm="1">
        <f t="array" ref="N1133">IFERROR(_xlfn.IFS(AND(LEFT(F1133,6)="Arbeid",RIGHT(F1133,3)&lt;&gt;"IKS"),IFERROR(VLOOKUP($G1133,Tb_KostenTypen[],2,0),"tarief"),RIGHT(F1133,3)="IKS","Uurtarief",LEFT(F1133,6)="Arbeid","Uurtarief",AND(LEFT(F1133,8)="Bijdrage",RIGHT(F1133,15)="(vrijwilligers)"),"Vast tarief"),"")</f>
        <v/>
      </c>
      <c r="O1133" s="90"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0"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1"/>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59"/>
      <c r="Z1133" s="49"/>
      <c r="AA1133" s="37" t="str" cm="1">
        <f t="array" ref="AA1133">IFERROR(IF(INDEX(SubsidieTabel!$Q$1:$T$9,MATCH($F1133,SubsidieTabel!$Q$1:$Q$9,0),IFERROR(MATCH(Methode_Keuze,SubsidieTabel!$Q$1:$T$1,0),2))&lt;&gt;1=TRUE,"ja",""),"")</f>
        <v/>
      </c>
    </row>
    <row r="1134" spans="1:27" ht="15" customHeight="1" x14ac:dyDescent="0.25">
      <c r="A1134" s="85"/>
      <c r="B1134" s="217" t="str">
        <f>IF(A1134&lt;&gt;"",_xlfn.MAXIFS($B$1:B1133,$A$1:A1133,A1134)+1,"")</f>
        <v/>
      </c>
      <c r="C1134" s="50"/>
      <c r="D1134" s="50"/>
      <c r="E1134" s="50"/>
      <c r="F1134" s="50"/>
      <c r="G1134" s="280"/>
      <c r="H1134" s="293"/>
      <c r="I1134" s="292"/>
      <c r="J1134" s="292"/>
      <c r="K1134" s="200"/>
      <c r="L1134" s="200"/>
      <c r="M1134" s="89" t="str">
        <f>IFERROR(VLOOKUP(H1134,Lijsten!$H$1:$I$100,2,0),"")</f>
        <v/>
      </c>
      <c r="N1134" s="89" t="str" cm="1">
        <f t="array" ref="N1134">IFERROR(_xlfn.IFS(AND(LEFT(F1134,6)="Arbeid",RIGHT(F1134,3)&lt;&gt;"IKS"),IFERROR(VLOOKUP($G1134,Tb_KostenTypen[],2,0),"tarief"),RIGHT(F1134,3)="IKS","Uurtarief",LEFT(F1134,6)="Arbeid","Uurtarief",AND(LEFT(F1134,8)="Bijdrage",RIGHT(F1134,15)="(vrijwilligers)"),"Vast tarief"),"")</f>
        <v/>
      </c>
      <c r="O1134" s="90"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0"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1"/>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59"/>
      <c r="Z1134" s="49"/>
      <c r="AA1134" s="37" t="str" cm="1">
        <f t="array" ref="AA1134">IFERROR(IF(INDEX(SubsidieTabel!$Q$1:$T$9,MATCH($F1134,SubsidieTabel!$Q$1:$Q$9,0),IFERROR(MATCH(Methode_Keuze,SubsidieTabel!$Q$1:$T$1,0),2))&lt;&gt;1=TRUE,"ja",""),"")</f>
        <v/>
      </c>
    </row>
    <row r="1135" spans="1:27" ht="15" customHeight="1" x14ac:dyDescent="0.25">
      <c r="A1135" s="85"/>
      <c r="B1135" s="217" t="str">
        <f>IF(A1135&lt;&gt;"",_xlfn.MAXIFS($B$1:B1134,$A$1:A1134,A1135)+1,"")</f>
        <v/>
      </c>
      <c r="C1135" s="50"/>
      <c r="D1135" s="50"/>
      <c r="E1135" s="50"/>
      <c r="F1135" s="50"/>
      <c r="G1135" s="280"/>
      <c r="H1135" s="293"/>
      <c r="I1135" s="292"/>
      <c r="J1135" s="292"/>
      <c r="K1135" s="200"/>
      <c r="L1135" s="200"/>
      <c r="M1135" s="89" t="str">
        <f>IFERROR(VLOOKUP(H1135,Lijsten!$H$1:$I$100,2,0),"")</f>
        <v/>
      </c>
      <c r="N1135" s="89" t="str" cm="1">
        <f t="array" ref="N1135">IFERROR(_xlfn.IFS(AND(LEFT(F1135,6)="Arbeid",RIGHT(F1135,3)&lt;&gt;"IKS"),IFERROR(VLOOKUP($G1135,Tb_KostenTypen[],2,0),"tarief"),RIGHT(F1135,3)="IKS","Uurtarief",LEFT(F1135,6)="Arbeid","Uurtarief",AND(LEFT(F1135,8)="Bijdrage",RIGHT(F1135,15)="(vrijwilligers)"),"Vast tarief"),"")</f>
        <v/>
      </c>
      <c r="O1135" s="90"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0"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1"/>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59"/>
      <c r="Z1135" s="49"/>
      <c r="AA1135" s="37" t="str" cm="1">
        <f t="array" ref="AA1135">IFERROR(IF(INDEX(SubsidieTabel!$Q$1:$T$9,MATCH($F1135,SubsidieTabel!$Q$1:$Q$9,0),IFERROR(MATCH(Methode_Keuze,SubsidieTabel!$Q$1:$T$1,0),2))&lt;&gt;1=TRUE,"ja",""),"")</f>
        <v/>
      </c>
    </row>
    <row r="1136" spans="1:27" ht="15" customHeight="1" x14ac:dyDescent="0.25">
      <c r="A1136" s="85"/>
      <c r="B1136" s="217" t="str">
        <f>IF(A1136&lt;&gt;"",_xlfn.MAXIFS($B$1:B1135,$A$1:A1135,A1136)+1,"")</f>
        <v/>
      </c>
      <c r="C1136" s="50"/>
      <c r="D1136" s="50"/>
      <c r="E1136" s="50"/>
      <c r="F1136" s="50"/>
      <c r="G1136" s="280"/>
      <c r="H1136" s="293"/>
      <c r="I1136" s="292"/>
      <c r="J1136" s="292"/>
      <c r="K1136" s="200"/>
      <c r="L1136" s="200"/>
      <c r="M1136" s="89" t="str">
        <f>IFERROR(VLOOKUP(H1136,Lijsten!$H$1:$I$100,2,0),"")</f>
        <v/>
      </c>
      <c r="N1136" s="89" t="str" cm="1">
        <f t="array" ref="N1136">IFERROR(_xlfn.IFS(AND(LEFT(F1136,6)="Arbeid",RIGHT(F1136,3)&lt;&gt;"IKS"),IFERROR(VLOOKUP($G1136,Tb_KostenTypen[],2,0),"tarief"),RIGHT(F1136,3)="IKS","Uurtarief",LEFT(F1136,6)="Arbeid","Uurtarief",AND(LEFT(F1136,8)="Bijdrage",RIGHT(F1136,15)="(vrijwilligers)"),"Vast tarief"),"")</f>
        <v/>
      </c>
      <c r="O1136" s="90"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0"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1"/>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59"/>
      <c r="Z1136" s="49"/>
      <c r="AA1136" s="37" t="str" cm="1">
        <f t="array" ref="AA1136">IFERROR(IF(INDEX(SubsidieTabel!$Q$1:$T$9,MATCH($F1136,SubsidieTabel!$Q$1:$Q$9,0),IFERROR(MATCH(Methode_Keuze,SubsidieTabel!$Q$1:$T$1,0),2))&lt;&gt;1=TRUE,"ja",""),"")</f>
        <v/>
      </c>
    </row>
    <row r="1137" spans="1:27" ht="15" customHeight="1" x14ac:dyDescent="0.25">
      <c r="A1137" s="85"/>
      <c r="B1137" s="217" t="str">
        <f>IF(A1137&lt;&gt;"",_xlfn.MAXIFS($B$1:B1136,$A$1:A1136,A1137)+1,"")</f>
        <v/>
      </c>
      <c r="C1137" s="50"/>
      <c r="D1137" s="50"/>
      <c r="E1137" s="50"/>
      <c r="F1137" s="50"/>
      <c r="G1137" s="280"/>
      <c r="H1137" s="293"/>
      <c r="I1137" s="292"/>
      <c r="J1137" s="292"/>
      <c r="K1137" s="200"/>
      <c r="L1137" s="200"/>
      <c r="M1137" s="89" t="str">
        <f>IFERROR(VLOOKUP(H1137,Lijsten!$H$1:$I$100,2,0),"")</f>
        <v/>
      </c>
      <c r="N1137" s="89" t="str" cm="1">
        <f t="array" ref="N1137">IFERROR(_xlfn.IFS(AND(LEFT(F1137,6)="Arbeid",RIGHT(F1137,3)&lt;&gt;"IKS"),IFERROR(VLOOKUP($G1137,Tb_KostenTypen[],2,0),"tarief"),RIGHT(F1137,3)="IKS","Uurtarief",LEFT(F1137,6)="Arbeid","Uurtarief",AND(LEFT(F1137,8)="Bijdrage",RIGHT(F1137,15)="(vrijwilligers)"),"Vast tarief"),"")</f>
        <v/>
      </c>
      <c r="O1137" s="90"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0"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1"/>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59"/>
      <c r="Z1137" s="49"/>
      <c r="AA1137" s="37" t="str" cm="1">
        <f t="array" ref="AA1137">IFERROR(IF(INDEX(SubsidieTabel!$Q$1:$T$9,MATCH($F1137,SubsidieTabel!$Q$1:$Q$9,0),IFERROR(MATCH(Methode_Keuze,SubsidieTabel!$Q$1:$T$1,0),2))&lt;&gt;1=TRUE,"ja",""),"")</f>
        <v/>
      </c>
    </row>
    <row r="1138" spans="1:27" ht="15" customHeight="1" x14ac:dyDescent="0.25">
      <c r="A1138" s="85"/>
      <c r="B1138" s="217" t="str">
        <f>IF(A1138&lt;&gt;"",_xlfn.MAXIFS($B$1:B1137,$A$1:A1137,A1138)+1,"")</f>
        <v/>
      </c>
      <c r="C1138" s="50"/>
      <c r="D1138" s="50"/>
      <c r="E1138" s="50"/>
      <c r="F1138" s="50"/>
      <c r="G1138" s="280"/>
      <c r="H1138" s="293"/>
      <c r="I1138" s="292"/>
      <c r="J1138" s="292"/>
      <c r="K1138" s="200"/>
      <c r="L1138" s="200"/>
      <c r="M1138" s="89" t="str">
        <f>IFERROR(VLOOKUP(H1138,Lijsten!$H$1:$I$100,2,0),"")</f>
        <v/>
      </c>
      <c r="N1138" s="89" t="str" cm="1">
        <f t="array" ref="N1138">IFERROR(_xlfn.IFS(AND(LEFT(F1138,6)="Arbeid",RIGHT(F1138,3)&lt;&gt;"IKS"),IFERROR(VLOOKUP($G1138,Tb_KostenTypen[],2,0),"tarief"),RIGHT(F1138,3)="IKS","Uurtarief",LEFT(F1138,6)="Arbeid","Uurtarief",AND(LEFT(F1138,8)="Bijdrage",RIGHT(F1138,15)="(vrijwilligers)"),"Vast tarief"),"")</f>
        <v/>
      </c>
      <c r="O1138" s="90"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0"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1"/>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59"/>
      <c r="Z1138" s="49"/>
      <c r="AA1138" s="37" t="str" cm="1">
        <f t="array" ref="AA1138">IFERROR(IF(INDEX(SubsidieTabel!$Q$1:$T$9,MATCH($F1138,SubsidieTabel!$Q$1:$Q$9,0),IFERROR(MATCH(Methode_Keuze,SubsidieTabel!$Q$1:$T$1,0),2))&lt;&gt;1=TRUE,"ja",""),"")</f>
        <v/>
      </c>
    </row>
    <row r="1139" spans="1:27" ht="15" customHeight="1" x14ac:dyDescent="0.25">
      <c r="A1139" s="85"/>
      <c r="B1139" s="217" t="str">
        <f>IF(A1139&lt;&gt;"",_xlfn.MAXIFS($B$1:B1138,$A$1:A1138,A1139)+1,"")</f>
        <v/>
      </c>
      <c r="C1139" s="50"/>
      <c r="D1139" s="50"/>
      <c r="E1139" s="50"/>
      <c r="F1139" s="50"/>
      <c r="G1139" s="280"/>
      <c r="H1139" s="293"/>
      <c r="I1139" s="292"/>
      <c r="J1139" s="292"/>
      <c r="K1139" s="200"/>
      <c r="L1139" s="200"/>
      <c r="M1139" s="89" t="str">
        <f>IFERROR(VLOOKUP(H1139,Lijsten!$H$1:$I$100,2,0),"")</f>
        <v/>
      </c>
      <c r="N1139" s="89" t="str" cm="1">
        <f t="array" ref="N1139">IFERROR(_xlfn.IFS(AND(LEFT(F1139,6)="Arbeid",RIGHT(F1139,3)&lt;&gt;"IKS"),IFERROR(VLOOKUP($G1139,Tb_KostenTypen[],2,0),"tarief"),RIGHT(F1139,3)="IKS","Uurtarief",LEFT(F1139,6)="Arbeid","Uurtarief",AND(LEFT(F1139,8)="Bijdrage",RIGHT(F1139,15)="(vrijwilligers)"),"Vast tarief"),"")</f>
        <v/>
      </c>
      <c r="O1139" s="90"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0"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1"/>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59"/>
      <c r="Z1139" s="49"/>
      <c r="AA1139" s="37" t="str" cm="1">
        <f t="array" ref="AA1139">IFERROR(IF(INDEX(SubsidieTabel!$Q$1:$T$9,MATCH($F1139,SubsidieTabel!$Q$1:$Q$9,0),IFERROR(MATCH(Methode_Keuze,SubsidieTabel!$Q$1:$T$1,0),2))&lt;&gt;1=TRUE,"ja",""),"")</f>
        <v/>
      </c>
    </row>
    <row r="1140" spans="1:27" ht="15" customHeight="1" x14ac:dyDescent="0.25">
      <c r="A1140" s="85"/>
      <c r="B1140" s="217" t="str">
        <f>IF(A1140&lt;&gt;"",_xlfn.MAXIFS($B$1:B1139,$A$1:A1139,A1140)+1,"")</f>
        <v/>
      </c>
      <c r="C1140" s="50"/>
      <c r="D1140" s="50"/>
      <c r="E1140" s="50"/>
      <c r="F1140" s="50"/>
      <c r="G1140" s="280"/>
      <c r="H1140" s="293"/>
      <c r="I1140" s="292"/>
      <c r="J1140" s="292"/>
      <c r="K1140" s="200"/>
      <c r="L1140" s="200"/>
      <c r="M1140" s="89" t="str">
        <f>IFERROR(VLOOKUP(H1140,Lijsten!$H$1:$I$100,2,0),"")</f>
        <v/>
      </c>
      <c r="N1140" s="89" t="str" cm="1">
        <f t="array" ref="N1140">IFERROR(_xlfn.IFS(AND(LEFT(F1140,6)="Arbeid",RIGHT(F1140,3)&lt;&gt;"IKS"),IFERROR(VLOOKUP($G1140,Tb_KostenTypen[],2,0),"tarief"),RIGHT(F1140,3)="IKS","Uurtarief",LEFT(F1140,6)="Arbeid","Uurtarief",AND(LEFT(F1140,8)="Bijdrage",RIGHT(F1140,15)="(vrijwilligers)"),"Vast tarief"),"")</f>
        <v/>
      </c>
      <c r="O1140" s="90"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0"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1"/>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59"/>
      <c r="Z1140" s="49"/>
      <c r="AA1140" s="37" t="str" cm="1">
        <f t="array" ref="AA1140">IFERROR(IF(INDEX(SubsidieTabel!$Q$1:$T$9,MATCH($F1140,SubsidieTabel!$Q$1:$Q$9,0),IFERROR(MATCH(Methode_Keuze,SubsidieTabel!$Q$1:$T$1,0),2))&lt;&gt;1=TRUE,"ja",""),"")</f>
        <v/>
      </c>
    </row>
    <row r="1141" spans="1:27" ht="15" customHeight="1" x14ac:dyDescent="0.25">
      <c r="A1141" s="85"/>
      <c r="B1141" s="217" t="str">
        <f>IF(A1141&lt;&gt;"",_xlfn.MAXIFS($B$1:B1140,$A$1:A1140,A1141)+1,"")</f>
        <v/>
      </c>
      <c r="C1141" s="50"/>
      <c r="D1141" s="50"/>
      <c r="E1141" s="50"/>
      <c r="F1141" s="50"/>
      <c r="G1141" s="280"/>
      <c r="H1141" s="293"/>
      <c r="I1141" s="292"/>
      <c r="J1141" s="292"/>
      <c r="K1141" s="200"/>
      <c r="L1141" s="200"/>
      <c r="M1141" s="89" t="str">
        <f>IFERROR(VLOOKUP(H1141,Lijsten!$H$1:$I$100,2,0),"")</f>
        <v/>
      </c>
      <c r="N1141" s="89" t="str" cm="1">
        <f t="array" ref="N1141">IFERROR(_xlfn.IFS(AND(LEFT(F1141,6)="Arbeid",RIGHT(F1141,3)&lt;&gt;"IKS"),IFERROR(VLOOKUP($G1141,Tb_KostenTypen[],2,0),"tarief"),RIGHT(F1141,3)="IKS","Uurtarief",LEFT(F1141,6)="Arbeid","Uurtarief",AND(LEFT(F1141,8)="Bijdrage",RIGHT(F1141,15)="(vrijwilligers)"),"Vast tarief"),"")</f>
        <v/>
      </c>
      <c r="O1141" s="90"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0"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1"/>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59"/>
      <c r="Z1141" s="49"/>
      <c r="AA1141" s="37" t="str" cm="1">
        <f t="array" ref="AA1141">IFERROR(IF(INDEX(SubsidieTabel!$Q$1:$T$9,MATCH($F1141,SubsidieTabel!$Q$1:$Q$9,0),IFERROR(MATCH(Methode_Keuze,SubsidieTabel!$Q$1:$T$1,0),2))&lt;&gt;1=TRUE,"ja",""),"")</f>
        <v/>
      </c>
    </row>
    <row r="1142" spans="1:27" ht="15" customHeight="1" x14ac:dyDescent="0.25">
      <c r="A1142" s="85"/>
      <c r="B1142" s="217" t="str">
        <f>IF(A1142&lt;&gt;"",_xlfn.MAXIFS($B$1:B1141,$A$1:A1141,A1142)+1,"")</f>
        <v/>
      </c>
      <c r="C1142" s="50"/>
      <c r="D1142" s="50"/>
      <c r="E1142" s="50"/>
      <c r="F1142" s="50"/>
      <c r="G1142" s="280"/>
      <c r="H1142" s="293"/>
      <c r="I1142" s="292"/>
      <c r="J1142" s="292"/>
      <c r="K1142" s="200"/>
      <c r="L1142" s="200"/>
      <c r="M1142" s="89" t="str">
        <f>IFERROR(VLOOKUP(H1142,Lijsten!$H$1:$I$100,2,0),"")</f>
        <v/>
      </c>
      <c r="N1142" s="89" t="str" cm="1">
        <f t="array" ref="N1142">IFERROR(_xlfn.IFS(AND(LEFT(F1142,6)="Arbeid",RIGHT(F1142,3)&lt;&gt;"IKS"),IFERROR(VLOOKUP($G1142,Tb_KostenTypen[],2,0),"tarief"),RIGHT(F1142,3)="IKS","Uurtarief",LEFT(F1142,6)="Arbeid","Uurtarief",AND(LEFT(F1142,8)="Bijdrage",RIGHT(F1142,15)="(vrijwilligers)"),"Vast tarief"),"")</f>
        <v/>
      </c>
      <c r="O1142" s="90"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0"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1"/>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59"/>
      <c r="Z1142" s="49"/>
      <c r="AA1142" s="37" t="str" cm="1">
        <f t="array" ref="AA1142">IFERROR(IF(INDEX(SubsidieTabel!$Q$1:$T$9,MATCH($F1142,SubsidieTabel!$Q$1:$Q$9,0),IFERROR(MATCH(Methode_Keuze,SubsidieTabel!$Q$1:$T$1,0),2))&lt;&gt;1=TRUE,"ja",""),"")</f>
        <v/>
      </c>
    </row>
    <row r="1143" spans="1:27" ht="15" customHeight="1" x14ac:dyDescent="0.25">
      <c r="A1143" s="85"/>
      <c r="B1143" s="217" t="str">
        <f>IF(A1143&lt;&gt;"",_xlfn.MAXIFS($B$1:B1142,$A$1:A1142,A1143)+1,"")</f>
        <v/>
      </c>
      <c r="C1143" s="50"/>
      <c r="D1143" s="50"/>
      <c r="E1143" s="50"/>
      <c r="F1143" s="50"/>
      <c r="G1143" s="280"/>
      <c r="H1143" s="293"/>
      <c r="I1143" s="292"/>
      <c r="J1143" s="292"/>
      <c r="K1143" s="200"/>
      <c r="L1143" s="200"/>
      <c r="M1143" s="89" t="str">
        <f>IFERROR(VLOOKUP(H1143,Lijsten!$H$1:$I$100,2,0),"")</f>
        <v/>
      </c>
      <c r="N1143" s="89" t="str" cm="1">
        <f t="array" ref="N1143">IFERROR(_xlfn.IFS(AND(LEFT(F1143,6)="Arbeid",RIGHT(F1143,3)&lt;&gt;"IKS"),IFERROR(VLOOKUP($G1143,Tb_KostenTypen[],2,0),"tarief"),RIGHT(F1143,3)="IKS","Uurtarief",LEFT(F1143,6)="Arbeid","Uurtarief",AND(LEFT(F1143,8)="Bijdrage",RIGHT(F1143,15)="(vrijwilligers)"),"Vast tarief"),"")</f>
        <v/>
      </c>
      <c r="O1143" s="90"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0"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1"/>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59"/>
      <c r="Z1143" s="49"/>
      <c r="AA1143" s="37" t="str" cm="1">
        <f t="array" ref="AA1143">IFERROR(IF(INDEX(SubsidieTabel!$Q$1:$T$9,MATCH($F1143,SubsidieTabel!$Q$1:$Q$9,0),IFERROR(MATCH(Methode_Keuze,SubsidieTabel!$Q$1:$T$1,0),2))&lt;&gt;1=TRUE,"ja",""),"")</f>
        <v/>
      </c>
    </row>
    <row r="1144" spans="1:27" ht="15" customHeight="1" x14ac:dyDescent="0.25">
      <c r="A1144" s="85"/>
      <c r="B1144" s="217" t="str">
        <f>IF(A1144&lt;&gt;"",_xlfn.MAXIFS($B$1:B1143,$A$1:A1143,A1144)+1,"")</f>
        <v/>
      </c>
      <c r="C1144" s="50"/>
      <c r="D1144" s="50"/>
      <c r="E1144" s="50"/>
      <c r="F1144" s="50"/>
      <c r="G1144" s="280"/>
      <c r="H1144" s="293"/>
      <c r="I1144" s="292"/>
      <c r="J1144" s="292"/>
      <c r="K1144" s="200"/>
      <c r="L1144" s="200"/>
      <c r="M1144" s="89" t="str">
        <f>IFERROR(VLOOKUP(H1144,Lijsten!$H$1:$I$100,2,0),"")</f>
        <v/>
      </c>
      <c r="N1144" s="89" t="str" cm="1">
        <f t="array" ref="N1144">IFERROR(_xlfn.IFS(AND(LEFT(F1144,6)="Arbeid",RIGHT(F1144,3)&lt;&gt;"IKS"),IFERROR(VLOOKUP($G1144,Tb_KostenTypen[],2,0),"tarief"),RIGHT(F1144,3)="IKS","Uurtarief",LEFT(F1144,6)="Arbeid","Uurtarief",AND(LEFT(F1144,8)="Bijdrage",RIGHT(F1144,15)="(vrijwilligers)"),"Vast tarief"),"")</f>
        <v/>
      </c>
      <c r="O1144" s="90"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0"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1"/>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59"/>
      <c r="Z1144" s="49"/>
      <c r="AA1144" s="37" t="str" cm="1">
        <f t="array" ref="AA1144">IFERROR(IF(INDEX(SubsidieTabel!$Q$1:$T$9,MATCH($F1144,SubsidieTabel!$Q$1:$Q$9,0),IFERROR(MATCH(Methode_Keuze,SubsidieTabel!$Q$1:$T$1,0),2))&lt;&gt;1=TRUE,"ja",""),"")</f>
        <v/>
      </c>
    </row>
    <row r="1145" spans="1:27" ht="15" customHeight="1" x14ac:dyDescent="0.25">
      <c r="A1145" s="85"/>
      <c r="B1145" s="217" t="str">
        <f>IF(A1145&lt;&gt;"",_xlfn.MAXIFS($B$1:B1144,$A$1:A1144,A1145)+1,"")</f>
        <v/>
      </c>
      <c r="C1145" s="50"/>
      <c r="D1145" s="50"/>
      <c r="E1145" s="50"/>
      <c r="F1145" s="50"/>
      <c r="G1145" s="280"/>
      <c r="H1145" s="293"/>
      <c r="I1145" s="292"/>
      <c r="J1145" s="292"/>
      <c r="K1145" s="200"/>
      <c r="L1145" s="200"/>
      <c r="M1145" s="89" t="str">
        <f>IFERROR(VLOOKUP(H1145,Lijsten!$H$1:$I$100,2,0),"")</f>
        <v/>
      </c>
      <c r="N1145" s="89" t="str" cm="1">
        <f t="array" ref="N1145">IFERROR(_xlfn.IFS(AND(LEFT(F1145,6)="Arbeid",RIGHT(F1145,3)&lt;&gt;"IKS"),IFERROR(VLOOKUP($G1145,Tb_KostenTypen[],2,0),"tarief"),RIGHT(F1145,3)="IKS","Uurtarief",LEFT(F1145,6)="Arbeid","Uurtarief",AND(LEFT(F1145,8)="Bijdrage",RIGHT(F1145,15)="(vrijwilligers)"),"Vast tarief"),"")</f>
        <v/>
      </c>
      <c r="O1145" s="90"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0"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1"/>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59"/>
      <c r="Z1145" s="49"/>
      <c r="AA1145" s="37" t="str" cm="1">
        <f t="array" ref="AA1145">IFERROR(IF(INDEX(SubsidieTabel!$Q$1:$T$9,MATCH($F1145,SubsidieTabel!$Q$1:$Q$9,0),IFERROR(MATCH(Methode_Keuze,SubsidieTabel!$Q$1:$T$1,0),2))&lt;&gt;1=TRUE,"ja",""),"")</f>
        <v/>
      </c>
    </row>
    <row r="1146" spans="1:27" ht="15" customHeight="1" x14ac:dyDescent="0.25">
      <c r="A1146" s="85"/>
      <c r="B1146" s="217" t="str">
        <f>IF(A1146&lt;&gt;"",_xlfn.MAXIFS($B$1:B1145,$A$1:A1145,A1146)+1,"")</f>
        <v/>
      </c>
      <c r="C1146" s="50"/>
      <c r="D1146" s="50"/>
      <c r="E1146" s="50"/>
      <c r="F1146" s="50"/>
      <c r="G1146" s="280"/>
      <c r="H1146" s="293"/>
      <c r="I1146" s="292"/>
      <c r="J1146" s="292"/>
      <c r="K1146" s="200"/>
      <c r="L1146" s="200"/>
      <c r="M1146" s="89" t="str">
        <f>IFERROR(VLOOKUP(H1146,Lijsten!$H$1:$I$100,2,0),"")</f>
        <v/>
      </c>
      <c r="N1146" s="89" t="str" cm="1">
        <f t="array" ref="N1146">IFERROR(_xlfn.IFS(AND(LEFT(F1146,6)="Arbeid",RIGHT(F1146,3)&lt;&gt;"IKS"),IFERROR(VLOOKUP($G1146,Tb_KostenTypen[],2,0),"tarief"),RIGHT(F1146,3)="IKS","Uurtarief",LEFT(F1146,6)="Arbeid","Uurtarief",AND(LEFT(F1146,8)="Bijdrage",RIGHT(F1146,15)="(vrijwilligers)"),"Vast tarief"),"")</f>
        <v/>
      </c>
      <c r="O1146" s="90"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0"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1"/>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59"/>
      <c r="Z1146" s="49"/>
      <c r="AA1146" s="37" t="str" cm="1">
        <f t="array" ref="AA1146">IFERROR(IF(INDEX(SubsidieTabel!$Q$1:$T$9,MATCH($F1146,SubsidieTabel!$Q$1:$Q$9,0),IFERROR(MATCH(Methode_Keuze,SubsidieTabel!$Q$1:$T$1,0),2))&lt;&gt;1=TRUE,"ja",""),"")</f>
        <v/>
      </c>
    </row>
    <row r="1147" spans="1:27" ht="15" customHeight="1" x14ac:dyDescent="0.25">
      <c r="A1147" s="85"/>
      <c r="B1147" s="217" t="str">
        <f>IF(A1147&lt;&gt;"",_xlfn.MAXIFS($B$1:B1146,$A$1:A1146,A1147)+1,"")</f>
        <v/>
      </c>
      <c r="C1147" s="50"/>
      <c r="D1147" s="50"/>
      <c r="E1147" s="50"/>
      <c r="F1147" s="50"/>
      <c r="G1147" s="280"/>
      <c r="H1147" s="293"/>
      <c r="I1147" s="292"/>
      <c r="J1147" s="292"/>
      <c r="K1147" s="200"/>
      <c r="L1147" s="200"/>
      <c r="M1147" s="89" t="str">
        <f>IFERROR(VLOOKUP(H1147,Lijsten!$H$1:$I$100,2,0),"")</f>
        <v/>
      </c>
      <c r="N1147" s="89" t="str" cm="1">
        <f t="array" ref="N1147">IFERROR(_xlfn.IFS(AND(LEFT(F1147,6)="Arbeid",RIGHT(F1147,3)&lt;&gt;"IKS"),IFERROR(VLOOKUP($G1147,Tb_KostenTypen[],2,0),"tarief"),RIGHT(F1147,3)="IKS","Uurtarief",LEFT(F1147,6)="Arbeid","Uurtarief",AND(LEFT(F1147,8)="Bijdrage",RIGHT(F1147,15)="(vrijwilligers)"),"Vast tarief"),"")</f>
        <v/>
      </c>
      <c r="O1147" s="90"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0"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1"/>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59"/>
      <c r="Z1147" s="49"/>
      <c r="AA1147" s="37" t="str" cm="1">
        <f t="array" ref="AA1147">IFERROR(IF(INDEX(SubsidieTabel!$Q$1:$T$9,MATCH($F1147,SubsidieTabel!$Q$1:$Q$9,0),IFERROR(MATCH(Methode_Keuze,SubsidieTabel!$Q$1:$T$1,0),2))&lt;&gt;1=TRUE,"ja",""),"")</f>
        <v/>
      </c>
    </row>
    <row r="1148" spans="1:27" ht="15" customHeight="1" x14ac:dyDescent="0.25">
      <c r="A1148" s="85"/>
      <c r="B1148" s="217" t="str">
        <f>IF(A1148&lt;&gt;"",_xlfn.MAXIFS($B$1:B1147,$A$1:A1147,A1148)+1,"")</f>
        <v/>
      </c>
      <c r="C1148" s="50"/>
      <c r="D1148" s="50"/>
      <c r="E1148" s="50"/>
      <c r="F1148" s="50"/>
      <c r="G1148" s="280"/>
      <c r="H1148" s="293"/>
      <c r="I1148" s="292"/>
      <c r="J1148" s="292"/>
      <c r="K1148" s="200"/>
      <c r="L1148" s="200"/>
      <c r="M1148" s="89" t="str">
        <f>IFERROR(VLOOKUP(H1148,Lijsten!$H$1:$I$100,2,0),"")</f>
        <v/>
      </c>
      <c r="N1148" s="89" t="str" cm="1">
        <f t="array" ref="N1148">IFERROR(_xlfn.IFS(AND(LEFT(F1148,6)="Arbeid",RIGHT(F1148,3)&lt;&gt;"IKS"),IFERROR(VLOOKUP($G1148,Tb_KostenTypen[],2,0),"tarief"),RIGHT(F1148,3)="IKS","Uurtarief",LEFT(F1148,6)="Arbeid","Uurtarief",AND(LEFT(F1148,8)="Bijdrage",RIGHT(F1148,15)="(vrijwilligers)"),"Vast tarief"),"")</f>
        <v/>
      </c>
      <c r="O1148" s="90"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0"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1"/>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59"/>
      <c r="Z1148" s="49"/>
      <c r="AA1148" s="37" t="str" cm="1">
        <f t="array" ref="AA1148">IFERROR(IF(INDEX(SubsidieTabel!$Q$1:$T$9,MATCH($F1148,SubsidieTabel!$Q$1:$Q$9,0),IFERROR(MATCH(Methode_Keuze,SubsidieTabel!$Q$1:$T$1,0),2))&lt;&gt;1=TRUE,"ja",""),"")</f>
        <v/>
      </c>
    </row>
    <row r="1149" spans="1:27" ht="15" customHeight="1" x14ac:dyDescent="0.25">
      <c r="A1149" s="85"/>
      <c r="B1149" s="217" t="str">
        <f>IF(A1149&lt;&gt;"",_xlfn.MAXIFS($B$1:B1148,$A$1:A1148,A1149)+1,"")</f>
        <v/>
      </c>
      <c r="C1149" s="50"/>
      <c r="D1149" s="50"/>
      <c r="E1149" s="50"/>
      <c r="F1149" s="50"/>
      <c r="G1149" s="280"/>
      <c r="H1149" s="293"/>
      <c r="I1149" s="292"/>
      <c r="J1149" s="292"/>
      <c r="K1149" s="200"/>
      <c r="L1149" s="200"/>
      <c r="M1149" s="89" t="str">
        <f>IFERROR(VLOOKUP(H1149,Lijsten!$H$1:$I$100,2,0),"")</f>
        <v/>
      </c>
      <c r="N1149" s="89" t="str" cm="1">
        <f t="array" ref="N1149">IFERROR(_xlfn.IFS(AND(LEFT(F1149,6)="Arbeid",RIGHT(F1149,3)&lt;&gt;"IKS"),IFERROR(VLOOKUP($G1149,Tb_KostenTypen[],2,0),"tarief"),RIGHT(F1149,3)="IKS","Uurtarief",LEFT(F1149,6)="Arbeid","Uurtarief",AND(LEFT(F1149,8)="Bijdrage",RIGHT(F1149,15)="(vrijwilligers)"),"Vast tarief"),"")</f>
        <v/>
      </c>
      <c r="O1149" s="90"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0"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1"/>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59"/>
      <c r="Z1149" s="49"/>
      <c r="AA1149" s="37" t="str" cm="1">
        <f t="array" ref="AA1149">IFERROR(IF(INDEX(SubsidieTabel!$Q$1:$T$9,MATCH($F1149,SubsidieTabel!$Q$1:$Q$9,0),IFERROR(MATCH(Methode_Keuze,SubsidieTabel!$Q$1:$T$1,0),2))&lt;&gt;1=TRUE,"ja",""),"")</f>
        <v/>
      </c>
    </row>
    <row r="1150" spans="1:27" ht="15" customHeight="1" x14ac:dyDescent="0.25">
      <c r="A1150" s="85"/>
      <c r="B1150" s="217" t="str">
        <f>IF(A1150&lt;&gt;"",_xlfn.MAXIFS($B$1:B1149,$A$1:A1149,A1150)+1,"")</f>
        <v/>
      </c>
      <c r="C1150" s="50"/>
      <c r="D1150" s="50"/>
      <c r="E1150" s="50"/>
      <c r="F1150" s="50"/>
      <c r="G1150" s="280"/>
      <c r="H1150" s="293"/>
      <c r="I1150" s="292"/>
      <c r="J1150" s="292"/>
      <c r="K1150" s="200"/>
      <c r="L1150" s="200"/>
      <c r="M1150" s="89" t="str">
        <f>IFERROR(VLOOKUP(H1150,Lijsten!$H$1:$I$100,2,0),"")</f>
        <v/>
      </c>
      <c r="N1150" s="89" t="str" cm="1">
        <f t="array" ref="N1150">IFERROR(_xlfn.IFS(AND(LEFT(F1150,6)="Arbeid",RIGHT(F1150,3)&lt;&gt;"IKS"),IFERROR(VLOOKUP($G1150,Tb_KostenTypen[],2,0),"tarief"),RIGHT(F1150,3)="IKS","Uurtarief",LEFT(F1150,6)="Arbeid","Uurtarief",AND(LEFT(F1150,8)="Bijdrage",RIGHT(F1150,15)="(vrijwilligers)"),"Vast tarief"),"")</f>
        <v/>
      </c>
      <c r="O1150" s="90"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0"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1"/>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59"/>
      <c r="Z1150" s="49"/>
      <c r="AA1150" s="37" t="str" cm="1">
        <f t="array" ref="AA1150">IFERROR(IF(INDEX(SubsidieTabel!$Q$1:$T$9,MATCH($F1150,SubsidieTabel!$Q$1:$Q$9,0),IFERROR(MATCH(Methode_Keuze,SubsidieTabel!$Q$1:$T$1,0),2))&lt;&gt;1=TRUE,"ja",""),"")</f>
        <v/>
      </c>
    </row>
    <row r="1151" spans="1:27" ht="15" customHeight="1" x14ac:dyDescent="0.25">
      <c r="A1151" s="85"/>
      <c r="B1151" s="217" t="str">
        <f>IF(A1151&lt;&gt;"",_xlfn.MAXIFS($B$1:B1150,$A$1:A1150,A1151)+1,"")</f>
        <v/>
      </c>
      <c r="C1151" s="50"/>
      <c r="D1151" s="50"/>
      <c r="E1151" s="50"/>
      <c r="F1151" s="50"/>
      <c r="G1151" s="280"/>
      <c r="H1151" s="293"/>
      <c r="I1151" s="292"/>
      <c r="J1151" s="292"/>
      <c r="K1151" s="200"/>
      <c r="L1151" s="200"/>
      <c r="M1151" s="89" t="str">
        <f>IFERROR(VLOOKUP(H1151,Lijsten!$H$1:$I$100,2,0),"")</f>
        <v/>
      </c>
      <c r="N1151" s="89" t="str" cm="1">
        <f t="array" ref="N1151">IFERROR(_xlfn.IFS(AND(LEFT(F1151,6)="Arbeid",RIGHT(F1151,3)&lt;&gt;"IKS"),IFERROR(VLOOKUP($G1151,Tb_KostenTypen[],2,0),"tarief"),RIGHT(F1151,3)="IKS","Uurtarief",LEFT(F1151,6)="Arbeid","Uurtarief",AND(LEFT(F1151,8)="Bijdrage",RIGHT(F1151,15)="(vrijwilligers)"),"Vast tarief"),"")</f>
        <v/>
      </c>
      <c r="O1151" s="90"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0"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1"/>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59"/>
      <c r="Z1151" s="49"/>
      <c r="AA1151" s="37" t="str" cm="1">
        <f t="array" ref="AA1151">IFERROR(IF(INDEX(SubsidieTabel!$Q$1:$T$9,MATCH($F1151,SubsidieTabel!$Q$1:$Q$9,0),IFERROR(MATCH(Methode_Keuze,SubsidieTabel!$Q$1:$T$1,0),2))&lt;&gt;1=TRUE,"ja",""),"")</f>
        <v/>
      </c>
    </row>
    <row r="1152" spans="1:27" ht="15" customHeight="1" x14ac:dyDescent="0.25">
      <c r="A1152" s="85"/>
      <c r="B1152" s="217" t="str">
        <f>IF(A1152&lt;&gt;"",_xlfn.MAXIFS($B$1:B1151,$A$1:A1151,A1152)+1,"")</f>
        <v/>
      </c>
      <c r="C1152" s="50"/>
      <c r="D1152" s="50"/>
      <c r="E1152" s="50"/>
      <c r="F1152" s="50"/>
      <c r="G1152" s="280"/>
      <c r="H1152" s="293"/>
      <c r="I1152" s="292"/>
      <c r="J1152" s="292"/>
      <c r="K1152" s="200"/>
      <c r="L1152" s="200"/>
      <c r="M1152" s="89" t="str">
        <f>IFERROR(VLOOKUP(H1152,Lijsten!$H$1:$I$100,2,0),"")</f>
        <v/>
      </c>
      <c r="N1152" s="89" t="str" cm="1">
        <f t="array" ref="N1152">IFERROR(_xlfn.IFS(AND(LEFT(F1152,6)="Arbeid",RIGHT(F1152,3)&lt;&gt;"IKS"),IFERROR(VLOOKUP($G1152,Tb_KostenTypen[],2,0),"tarief"),RIGHT(F1152,3)="IKS","Uurtarief",LEFT(F1152,6)="Arbeid","Uurtarief",AND(LEFT(F1152,8)="Bijdrage",RIGHT(F1152,15)="(vrijwilligers)"),"Vast tarief"),"")</f>
        <v/>
      </c>
      <c r="O1152" s="90"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0"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1"/>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59"/>
      <c r="Z1152" s="49"/>
      <c r="AA1152" s="37" t="str" cm="1">
        <f t="array" ref="AA1152">IFERROR(IF(INDEX(SubsidieTabel!$Q$1:$T$9,MATCH($F1152,SubsidieTabel!$Q$1:$Q$9,0),IFERROR(MATCH(Methode_Keuze,SubsidieTabel!$Q$1:$T$1,0),2))&lt;&gt;1=TRUE,"ja",""),"")</f>
        <v/>
      </c>
    </row>
    <row r="1153" spans="1:27" ht="15" customHeight="1" x14ac:dyDescent="0.25">
      <c r="A1153" s="85"/>
      <c r="B1153" s="217" t="str">
        <f>IF(A1153&lt;&gt;"",_xlfn.MAXIFS($B$1:B1152,$A$1:A1152,A1153)+1,"")</f>
        <v/>
      </c>
      <c r="C1153" s="50"/>
      <c r="D1153" s="50"/>
      <c r="E1153" s="50"/>
      <c r="F1153" s="50"/>
      <c r="G1153" s="280"/>
      <c r="H1153" s="293"/>
      <c r="I1153" s="292"/>
      <c r="J1153" s="292"/>
      <c r="K1153" s="200"/>
      <c r="L1153" s="200"/>
      <c r="M1153" s="89" t="str">
        <f>IFERROR(VLOOKUP(H1153,Lijsten!$H$1:$I$100,2,0),"")</f>
        <v/>
      </c>
      <c r="N1153" s="89" t="str" cm="1">
        <f t="array" ref="N1153">IFERROR(_xlfn.IFS(AND(LEFT(F1153,6)="Arbeid",RIGHT(F1153,3)&lt;&gt;"IKS"),IFERROR(VLOOKUP($G1153,Tb_KostenTypen[],2,0),"tarief"),RIGHT(F1153,3)="IKS","Uurtarief",LEFT(F1153,6)="Arbeid","Uurtarief",AND(LEFT(F1153,8)="Bijdrage",RIGHT(F1153,15)="(vrijwilligers)"),"Vast tarief"),"")</f>
        <v/>
      </c>
      <c r="O1153" s="90"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0"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1"/>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59"/>
      <c r="Z1153" s="49"/>
      <c r="AA1153" s="37" t="str" cm="1">
        <f t="array" ref="AA1153">IFERROR(IF(INDEX(SubsidieTabel!$Q$1:$T$9,MATCH($F1153,SubsidieTabel!$Q$1:$Q$9,0),IFERROR(MATCH(Methode_Keuze,SubsidieTabel!$Q$1:$T$1,0),2))&lt;&gt;1=TRUE,"ja",""),"")</f>
        <v/>
      </c>
    </row>
    <row r="1154" spans="1:27" ht="15" customHeight="1" x14ac:dyDescent="0.25">
      <c r="A1154" s="85"/>
      <c r="B1154" s="217" t="str">
        <f>IF(A1154&lt;&gt;"",_xlfn.MAXIFS($B$1:B1153,$A$1:A1153,A1154)+1,"")</f>
        <v/>
      </c>
      <c r="C1154" s="50"/>
      <c r="D1154" s="50"/>
      <c r="E1154" s="50"/>
      <c r="F1154" s="50"/>
      <c r="G1154" s="280"/>
      <c r="H1154" s="293"/>
      <c r="I1154" s="292"/>
      <c r="J1154" s="292"/>
      <c r="K1154" s="200"/>
      <c r="L1154" s="200"/>
      <c r="M1154" s="89" t="str">
        <f>IFERROR(VLOOKUP(H1154,Lijsten!$H$1:$I$100,2,0),"")</f>
        <v/>
      </c>
      <c r="N1154" s="89" t="str" cm="1">
        <f t="array" ref="N1154">IFERROR(_xlfn.IFS(AND(LEFT(F1154,6)="Arbeid",RIGHT(F1154,3)&lt;&gt;"IKS"),IFERROR(VLOOKUP($G1154,Tb_KostenTypen[],2,0),"tarief"),RIGHT(F1154,3)="IKS","Uurtarief",LEFT(F1154,6)="Arbeid","Uurtarief",AND(LEFT(F1154,8)="Bijdrage",RIGHT(F1154,15)="(vrijwilligers)"),"Vast tarief"),"")</f>
        <v/>
      </c>
      <c r="O1154" s="90"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0"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1"/>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59"/>
      <c r="Z1154" s="49"/>
      <c r="AA1154" s="37" t="str" cm="1">
        <f t="array" ref="AA1154">IFERROR(IF(INDEX(SubsidieTabel!$Q$1:$T$9,MATCH($F1154,SubsidieTabel!$Q$1:$Q$9,0),IFERROR(MATCH(Methode_Keuze,SubsidieTabel!$Q$1:$T$1,0),2))&lt;&gt;1=TRUE,"ja",""),"")</f>
        <v/>
      </c>
    </row>
    <row r="1155" spans="1:27" ht="15" customHeight="1" x14ac:dyDescent="0.25">
      <c r="A1155" s="85"/>
      <c r="B1155" s="217" t="str">
        <f>IF(A1155&lt;&gt;"",_xlfn.MAXIFS($B$1:B1154,$A$1:A1154,A1155)+1,"")</f>
        <v/>
      </c>
      <c r="C1155" s="50"/>
      <c r="D1155" s="50"/>
      <c r="E1155" s="50"/>
      <c r="F1155" s="50"/>
      <c r="G1155" s="280"/>
      <c r="H1155" s="293"/>
      <c r="I1155" s="292"/>
      <c r="J1155" s="292"/>
      <c r="K1155" s="200"/>
      <c r="L1155" s="200"/>
      <c r="M1155" s="89" t="str">
        <f>IFERROR(VLOOKUP(H1155,Lijsten!$H$1:$I$100,2,0),"")</f>
        <v/>
      </c>
      <c r="N1155" s="89" t="str" cm="1">
        <f t="array" ref="N1155">IFERROR(_xlfn.IFS(AND(LEFT(F1155,6)="Arbeid",RIGHT(F1155,3)&lt;&gt;"IKS"),IFERROR(VLOOKUP($G1155,Tb_KostenTypen[],2,0),"tarief"),RIGHT(F1155,3)="IKS","Uurtarief",LEFT(F1155,6)="Arbeid","Uurtarief",AND(LEFT(F1155,8)="Bijdrage",RIGHT(F1155,15)="(vrijwilligers)"),"Vast tarief"),"")</f>
        <v/>
      </c>
      <c r="O1155" s="90"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0"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1"/>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59"/>
      <c r="Z1155" s="49"/>
      <c r="AA1155" s="37" t="str" cm="1">
        <f t="array" ref="AA1155">IFERROR(IF(INDEX(SubsidieTabel!$Q$1:$T$9,MATCH($F1155,SubsidieTabel!$Q$1:$Q$9,0),IFERROR(MATCH(Methode_Keuze,SubsidieTabel!$Q$1:$T$1,0),2))&lt;&gt;1=TRUE,"ja",""),"")</f>
        <v/>
      </c>
    </row>
    <row r="1156" spans="1:27" ht="15" customHeight="1" x14ac:dyDescent="0.25">
      <c r="A1156" s="85"/>
      <c r="B1156" s="217" t="str">
        <f>IF(A1156&lt;&gt;"",_xlfn.MAXIFS($B$1:B1155,$A$1:A1155,A1156)+1,"")</f>
        <v/>
      </c>
      <c r="C1156" s="50"/>
      <c r="D1156" s="50"/>
      <c r="E1156" s="50"/>
      <c r="F1156" s="50"/>
      <c r="G1156" s="280"/>
      <c r="H1156" s="293"/>
      <c r="I1156" s="292"/>
      <c r="J1156" s="292"/>
      <c r="K1156" s="200"/>
      <c r="L1156" s="200"/>
      <c r="M1156" s="89" t="str">
        <f>IFERROR(VLOOKUP(H1156,Lijsten!$H$1:$I$100,2,0),"")</f>
        <v/>
      </c>
      <c r="N1156" s="89" t="str" cm="1">
        <f t="array" ref="N1156">IFERROR(_xlfn.IFS(AND(LEFT(F1156,6)="Arbeid",RIGHT(F1156,3)&lt;&gt;"IKS"),IFERROR(VLOOKUP($G1156,Tb_KostenTypen[],2,0),"tarief"),RIGHT(F1156,3)="IKS","Uurtarief",LEFT(F1156,6)="Arbeid","Uurtarief",AND(LEFT(F1156,8)="Bijdrage",RIGHT(F1156,15)="(vrijwilligers)"),"Vast tarief"),"")</f>
        <v/>
      </c>
      <c r="O1156" s="90"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0"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1"/>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59"/>
      <c r="Z1156" s="49"/>
      <c r="AA1156" s="37" t="str" cm="1">
        <f t="array" ref="AA1156">IFERROR(IF(INDEX(SubsidieTabel!$Q$1:$T$9,MATCH($F1156,SubsidieTabel!$Q$1:$Q$9,0),IFERROR(MATCH(Methode_Keuze,SubsidieTabel!$Q$1:$T$1,0),2))&lt;&gt;1=TRUE,"ja",""),"")</f>
        <v/>
      </c>
    </row>
    <row r="1157" spans="1:27" ht="15" customHeight="1" x14ac:dyDescent="0.25">
      <c r="A1157" s="85"/>
      <c r="B1157" s="217" t="str">
        <f>IF(A1157&lt;&gt;"",_xlfn.MAXIFS($B$1:B1156,$A$1:A1156,A1157)+1,"")</f>
        <v/>
      </c>
      <c r="C1157" s="50"/>
      <c r="D1157" s="50"/>
      <c r="E1157" s="50"/>
      <c r="F1157" s="50"/>
      <c r="G1157" s="280"/>
      <c r="H1157" s="293"/>
      <c r="I1157" s="292"/>
      <c r="J1157" s="292"/>
      <c r="K1157" s="200"/>
      <c r="L1157" s="200"/>
      <c r="M1157" s="89" t="str">
        <f>IFERROR(VLOOKUP(H1157,Lijsten!$H$1:$I$100,2,0),"")</f>
        <v/>
      </c>
      <c r="N1157" s="89" t="str" cm="1">
        <f t="array" ref="N1157">IFERROR(_xlfn.IFS(AND(LEFT(F1157,6)="Arbeid",RIGHT(F1157,3)&lt;&gt;"IKS"),IFERROR(VLOOKUP($G1157,Tb_KostenTypen[],2,0),"tarief"),RIGHT(F1157,3)="IKS","Uurtarief",LEFT(F1157,6)="Arbeid","Uurtarief",AND(LEFT(F1157,8)="Bijdrage",RIGHT(F1157,15)="(vrijwilligers)"),"Vast tarief"),"")</f>
        <v/>
      </c>
      <c r="O1157" s="90"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0"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1"/>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59"/>
      <c r="Z1157" s="49"/>
      <c r="AA1157" s="37" t="str" cm="1">
        <f t="array" ref="AA1157">IFERROR(IF(INDEX(SubsidieTabel!$Q$1:$T$9,MATCH($F1157,SubsidieTabel!$Q$1:$Q$9,0),IFERROR(MATCH(Methode_Keuze,SubsidieTabel!$Q$1:$T$1,0),2))&lt;&gt;1=TRUE,"ja",""),"")</f>
        <v/>
      </c>
    </row>
    <row r="1158" spans="1:27" ht="15" customHeight="1" x14ac:dyDescent="0.25">
      <c r="A1158" s="85"/>
      <c r="B1158" s="217" t="str">
        <f>IF(A1158&lt;&gt;"",_xlfn.MAXIFS($B$1:B1157,$A$1:A1157,A1158)+1,"")</f>
        <v/>
      </c>
      <c r="C1158" s="50"/>
      <c r="D1158" s="50"/>
      <c r="E1158" s="50"/>
      <c r="F1158" s="50"/>
      <c r="G1158" s="280"/>
      <c r="H1158" s="293"/>
      <c r="I1158" s="292"/>
      <c r="J1158" s="292"/>
      <c r="K1158" s="200"/>
      <c r="L1158" s="200"/>
      <c r="M1158" s="89" t="str">
        <f>IFERROR(VLOOKUP(H1158,Lijsten!$H$1:$I$100,2,0),"")</f>
        <v/>
      </c>
      <c r="N1158" s="89" t="str" cm="1">
        <f t="array" ref="N1158">IFERROR(_xlfn.IFS(AND(LEFT(F1158,6)="Arbeid",RIGHT(F1158,3)&lt;&gt;"IKS"),IFERROR(VLOOKUP($G1158,Tb_KostenTypen[],2,0),"tarief"),RIGHT(F1158,3)="IKS","Uurtarief",LEFT(F1158,6)="Arbeid","Uurtarief",AND(LEFT(F1158,8)="Bijdrage",RIGHT(F1158,15)="(vrijwilligers)"),"Vast tarief"),"")</f>
        <v/>
      </c>
      <c r="O1158" s="90"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0"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1"/>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59"/>
      <c r="Z1158" s="49"/>
      <c r="AA1158" s="37" t="str" cm="1">
        <f t="array" ref="AA1158">IFERROR(IF(INDEX(SubsidieTabel!$Q$1:$T$9,MATCH($F1158,SubsidieTabel!$Q$1:$Q$9,0),IFERROR(MATCH(Methode_Keuze,SubsidieTabel!$Q$1:$T$1,0),2))&lt;&gt;1=TRUE,"ja",""),"")</f>
        <v/>
      </c>
    </row>
    <row r="1159" spans="1:27" ht="15" customHeight="1" x14ac:dyDescent="0.25">
      <c r="A1159" s="85"/>
      <c r="B1159" s="217" t="str">
        <f>IF(A1159&lt;&gt;"",_xlfn.MAXIFS($B$1:B1158,$A$1:A1158,A1159)+1,"")</f>
        <v/>
      </c>
      <c r="C1159" s="50"/>
      <c r="D1159" s="50"/>
      <c r="E1159" s="50"/>
      <c r="F1159" s="50"/>
      <c r="G1159" s="280"/>
      <c r="H1159" s="293"/>
      <c r="I1159" s="292"/>
      <c r="J1159" s="292"/>
      <c r="K1159" s="200"/>
      <c r="L1159" s="200"/>
      <c r="M1159" s="89" t="str">
        <f>IFERROR(VLOOKUP(H1159,Lijsten!$H$1:$I$100,2,0),"")</f>
        <v/>
      </c>
      <c r="N1159" s="89" t="str" cm="1">
        <f t="array" ref="N1159">IFERROR(_xlfn.IFS(AND(LEFT(F1159,6)="Arbeid",RIGHT(F1159,3)&lt;&gt;"IKS"),IFERROR(VLOOKUP($G1159,Tb_KostenTypen[],2,0),"tarief"),RIGHT(F1159,3)="IKS","Uurtarief",LEFT(F1159,6)="Arbeid","Uurtarief",AND(LEFT(F1159,8)="Bijdrage",RIGHT(F1159,15)="(vrijwilligers)"),"Vast tarief"),"")</f>
        <v/>
      </c>
      <c r="O1159" s="90"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0"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1"/>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59"/>
      <c r="Z1159" s="49"/>
      <c r="AA1159" s="37" t="str" cm="1">
        <f t="array" ref="AA1159">IFERROR(IF(INDEX(SubsidieTabel!$Q$1:$T$9,MATCH($F1159,SubsidieTabel!$Q$1:$Q$9,0),IFERROR(MATCH(Methode_Keuze,SubsidieTabel!$Q$1:$T$1,0),2))&lt;&gt;1=TRUE,"ja",""),"")</f>
        <v/>
      </c>
    </row>
    <row r="1160" spans="1:27" ht="15" customHeight="1" x14ac:dyDescent="0.25">
      <c r="A1160" s="85"/>
      <c r="B1160" s="217" t="str">
        <f>IF(A1160&lt;&gt;"",_xlfn.MAXIFS($B$1:B1159,$A$1:A1159,A1160)+1,"")</f>
        <v/>
      </c>
      <c r="C1160" s="50"/>
      <c r="D1160" s="50"/>
      <c r="E1160" s="50"/>
      <c r="F1160" s="50"/>
      <c r="G1160" s="280"/>
      <c r="H1160" s="293"/>
      <c r="I1160" s="292"/>
      <c r="J1160" s="292"/>
      <c r="K1160" s="200"/>
      <c r="L1160" s="200"/>
      <c r="M1160" s="89" t="str">
        <f>IFERROR(VLOOKUP(H1160,Lijsten!$H$1:$I$100,2,0),"")</f>
        <v/>
      </c>
      <c r="N1160" s="89" t="str" cm="1">
        <f t="array" ref="N1160">IFERROR(_xlfn.IFS(AND(LEFT(F1160,6)="Arbeid",RIGHT(F1160,3)&lt;&gt;"IKS"),IFERROR(VLOOKUP($G1160,Tb_KostenTypen[],2,0),"tarief"),RIGHT(F1160,3)="IKS","Uurtarief",LEFT(F1160,6)="Arbeid","Uurtarief",AND(LEFT(F1160,8)="Bijdrage",RIGHT(F1160,15)="(vrijwilligers)"),"Vast tarief"),"")</f>
        <v/>
      </c>
      <c r="O1160" s="90"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0"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1"/>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59"/>
      <c r="Z1160" s="49"/>
      <c r="AA1160" s="37" t="str" cm="1">
        <f t="array" ref="AA1160">IFERROR(IF(INDEX(SubsidieTabel!$Q$1:$T$9,MATCH($F1160,SubsidieTabel!$Q$1:$Q$9,0),IFERROR(MATCH(Methode_Keuze,SubsidieTabel!$Q$1:$T$1,0),2))&lt;&gt;1=TRUE,"ja",""),"")</f>
        <v/>
      </c>
    </row>
    <row r="1161" spans="1:27" ht="15" customHeight="1" x14ac:dyDescent="0.25">
      <c r="A1161" s="85"/>
      <c r="B1161" s="217" t="str">
        <f>IF(A1161&lt;&gt;"",_xlfn.MAXIFS($B$1:B1160,$A$1:A1160,A1161)+1,"")</f>
        <v/>
      </c>
      <c r="C1161" s="50"/>
      <c r="D1161" s="50"/>
      <c r="E1161" s="50"/>
      <c r="F1161" s="50"/>
      <c r="G1161" s="280"/>
      <c r="H1161" s="293"/>
      <c r="I1161" s="292"/>
      <c r="J1161" s="292"/>
      <c r="K1161" s="200"/>
      <c r="L1161" s="200"/>
      <c r="M1161" s="89" t="str">
        <f>IFERROR(VLOOKUP(H1161,Lijsten!$H$1:$I$100,2,0),"")</f>
        <v/>
      </c>
      <c r="N1161" s="89" t="str" cm="1">
        <f t="array" ref="N1161">IFERROR(_xlfn.IFS(AND(LEFT(F1161,6)="Arbeid",RIGHT(F1161,3)&lt;&gt;"IKS"),IFERROR(VLOOKUP($G1161,Tb_KostenTypen[],2,0),"tarief"),RIGHT(F1161,3)="IKS","Uurtarief",LEFT(F1161,6)="Arbeid","Uurtarief",AND(LEFT(F1161,8)="Bijdrage",RIGHT(F1161,15)="(vrijwilligers)"),"Vast tarief"),"")</f>
        <v/>
      </c>
      <c r="O1161" s="90"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0"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1"/>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59"/>
      <c r="Z1161" s="49"/>
      <c r="AA1161" s="37" t="str" cm="1">
        <f t="array" ref="AA1161">IFERROR(IF(INDEX(SubsidieTabel!$Q$1:$T$9,MATCH($F1161,SubsidieTabel!$Q$1:$Q$9,0),IFERROR(MATCH(Methode_Keuze,SubsidieTabel!$Q$1:$T$1,0),2))&lt;&gt;1=TRUE,"ja",""),"")</f>
        <v/>
      </c>
    </row>
    <row r="1162" spans="1:27" ht="15" customHeight="1" x14ac:dyDescent="0.25">
      <c r="A1162" s="85"/>
      <c r="B1162" s="217" t="str">
        <f>IF(A1162&lt;&gt;"",_xlfn.MAXIFS($B$1:B1161,$A$1:A1161,A1162)+1,"")</f>
        <v/>
      </c>
      <c r="C1162" s="50"/>
      <c r="D1162" s="50"/>
      <c r="E1162" s="50"/>
      <c r="F1162" s="50"/>
      <c r="G1162" s="280"/>
      <c r="H1162" s="293"/>
      <c r="I1162" s="292"/>
      <c r="J1162" s="292"/>
      <c r="K1162" s="200"/>
      <c r="L1162" s="200"/>
      <c r="M1162" s="89" t="str">
        <f>IFERROR(VLOOKUP(H1162,Lijsten!$H$1:$I$100,2,0),"")</f>
        <v/>
      </c>
      <c r="N1162" s="89" t="str" cm="1">
        <f t="array" ref="N1162">IFERROR(_xlfn.IFS(AND(LEFT(F1162,6)="Arbeid",RIGHT(F1162,3)&lt;&gt;"IKS"),IFERROR(VLOOKUP($G1162,Tb_KostenTypen[],2,0),"tarief"),RIGHT(F1162,3)="IKS","Uurtarief",LEFT(F1162,6)="Arbeid","Uurtarief",AND(LEFT(F1162,8)="Bijdrage",RIGHT(F1162,15)="(vrijwilligers)"),"Vast tarief"),"")</f>
        <v/>
      </c>
      <c r="O1162" s="90"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0"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1"/>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59"/>
      <c r="Z1162" s="49"/>
      <c r="AA1162" s="37" t="str" cm="1">
        <f t="array" ref="AA1162">IFERROR(IF(INDEX(SubsidieTabel!$Q$1:$T$9,MATCH($F1162,SubsidieTabel!$Q$1:$Q$9,0),IFERROR(MATCH(Methode_Keuze,SubsidieTabel!$Q$1:$T$1,0),2))&lt;&gt;1=TRUE,"ja",""),"")</f>
        <v/>
      </c>
    </row>
    <row r="1163" spans="1:27" ht="15" customHeight="1" x14ac:dyDescent="0.25">
      <c r="A1163" s="85"/>
      <c r="B1163" s="217" t="str">
        <f>IF(A1163&lt;&gt;"",_xlfn.MAXIFS($B$1:B1162,$A$1:A1162,A1163)+1,"")</f>
        <v/>
      </c>
      <c r="C1163" s="50"/>
      <c r="D1163" s="50"/>
      <c r="E1163" s="50"/>
      <c r="F1163" s="50"/>
      <c r="G1163" s="280"/>
      <c r="H1163" s="293"/>
      <c r="I1163" s="292"/>
      <c r="J1163" s="292"/>
      <c r="K1163" s="200"/>
      <c r="L1163" s="200"/>
      <c r="M1163" s="89" t="str">
        <f>IFERROR(VLOOKUP(H1163,Lijsten!$H$1:$I$100,2,0),"")</f>
        <v/>
      </c>
      <c r="N1163" s="89" t="str" cm="1">
        <f t="array" ref="N1163">IFERROR(_xlfn.IFS(AND(LEFT(F1163,6)="Arbeid",RIGHT(F1163,3)&lt;&gt;"IKS"),IFERROR(VLOOKUP($G1163,Tb_KostenTypen[],2,0),"tarief"),RIGHT(F1163,3)="IKS","Uurtarief",LEFT(F1163,6)="Arbeid","Uurtarief",AND(LEFT(F1163,8)="Bijdrage",RIGHT(F1163,15)="(vrijwilligers)"),"Vast tarief"),"")</f>
        <v/>
      </c>
      <c r="O1163" s="90"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0"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1"/>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59"/>
      <c r="Z1163" s="49"/>
      <c r="AA1163" s="37" t="str" cm="1">
        <f t="array" ref="AA1163">IFERROR(IF(INDEX(SubsidieTabel!$Q$1:$T$9,MATCH($F1163,SubsidieTabel!$Q$1:$Q$9,0),IFERROR(MATCH(Methode_Keuze,SubsidieTabel!$Q$1:$T$1,0),2))&lt;&gt;1=TRUE,"ja",""),"")</f>
        <v/>
      </c>
    </row>
    <row r="1164" spans="1:27" ht="15" customHeight="1" x14ac:dyDescent="0.25">
      <c r="A1164" s="85"/>
      <c r="B1164" s="217" t="str">
        <f>IF(A1164&lt;&gt;"",_xlfn.MAXIFS($B$1:B1163,$A$1:A1163,A1164)+1,"")</f>
        <v/>
      </c>
      <c r="C1164" s="50"/>
      <c r="D1164" s="50"/>
      <c r="E1164" s="50"/>
      <c r="F1164" s="50"/>
      <c r="G1164" s="280"/>
      <c r="H1164" s="293"/>
      <c r="I1164" s="292"/>
      <c r="J1164" s="292"/>
      <c r="K1164" s="200"/>
      <c r="L1164" s="200"/>
      <c r="M1164" s="89" t="str">
        <f>IFERROR(VLOOKUP(H1164,Lijsten!$H$1:$I$100,2,0),"")</f>
        <v/>
      </c>
      <c r="N1164" s="89" t="str" cm="1">
        <f t="array" ref="N1164">IFERROR(_xlfn.IFS(AND(LEFT(F1164,6)="Arbeid",RIGHT(F1164,3)&lt;&gt;"IKS"),IFERROR(VLOOKUP($G1164,Tb_KostenTypen[],2,0),"tarief"),RIGHT(F1164,3)="IKS","Uurtarief",LEFT(F1164,6)="Arbeid","Uurtarief",AND(LEFT(F1164,8)="Bijdrage",RIGHT(F1164,15)="(vrijwilligers)"),"Vast tarief"),"")</f>
        <v/>
      </c>
      <c r="O1164" s="90"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0"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1"/>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59"/>
      <c r="Z1164" s="49"/>
      <c r="AA1164" s="37" t="str" cm="1">
        <f t="array" ref="AA1164">IFERROR(IF(INDEX(SubsidieTabel!$Q$1:$T$9,MATCH($F1164,SubsidieTabel!$Q$1:$Q$9,0),IFERROR(MATCH(Methode_Keuze,SubsidieTabel!$Q$1:$T$1,0),2))&lt;&gt;1=TRUE,"ja",""),"")</f>
        <v/>
      </c>
    </row>
    <row r="1165" spans="1:27" ht="15" customHeight="1" x14ac:dyDescent="0.25">
      <c r="A1165" s="85"/>
      <c r="B1165" s="217" t="str">
        <f>IF(A1165&lt;&gt;"",_xlfn.MAXIFS($B$1:B1164,$A$1:A1164,A1165)+1,"")</f>
        <v/>
      </c>
      <c r="C1165" s="50"/>
      <c r="D1165" s="50"/>
      <c r="E1165" s="50"/>
      <c r="F1165" s="50"/>
      <c r="G1165" s="280"/>
      <c r="H1165" s="293"/>
      <c r="I1165" s="292"/>
      <c r="J1165" s="292"/>
      <c r="K1165" s="200"/>
      <c r="L1165" s="200"/>
      <c r="M1165" s="89" t="str">
        <f>IFERROR(VLOOKUP(H1165,Lijsten!$H$1:$I$100,2,0),"")</f>
        <v/>
      </c>
      <c r="N1165" s="89" t="str" cm="1">
        <f t="array" ref="N1165">IFERROR(_xlfn.IFS(AND(LEFT(F1165,6)="Arbeid",RIGHT(F1165,3)&lt;&gt;"IKS"),IFERROR(VLOOKUP($G1165,Tb_KostenTypen[],2,0),"tarief"),RIGHT(F1165,3)="IKS","Uurtarief",LEFT(F1165,6)="Arbeid","Uurtarief",AND(LEFT(F1165,8)="Bijdrage",RIGHT(F1165,15)="(vrijwilligers)"),"Vast tarief"),"")</f>
        <v/>
      </c>
      <c r="O1165" s="90"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0"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1"/>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59"/>
      <c r="Z1165" s="49"/>
      <c r="AA1165" s="37" t="str" cm="1">
        <f t="array" ref="AA1165">IFERROR(IF(INDEX(SubsidieTabel!$Q$1:$T$9,MATCH($F1165,SubsidieTabel!$Q$1:$Q$9,0),IFERROR(MATCH(Methode_Keuze,SubsidieTabel!$Q$1:$T$1,0),2))&lt;&gt;1=TRUE,"ja",""),"")</f>
        <v/>
      </c>
    </row>
    <row r="1166" spans="1:27" ht="15" customHeight="1" x14ac:dyDescent="0.25">
      <c r="A1166" s="85"/>
      <c r="B1166" s="217" t="str">
        <f>IF(A1166&lt;&gt;"",_xlfn.MAXIFS($B$1:B1165,$A$1:A1165,A1166)+1,"")</f>
        <v/>
      </c>
      <c r="C1166" s="50"/>
      <c r="D1166" s="50"/>
      <c r="E1166" s="50"/>
      <c r="F1166" s="50"/>
      <c r="G1166" s="280"/>
      <c r="H1166" s="293"/>
      <c r="I1166" s="292"/>
      <c r="J1166" s="292"/>
      <c r="K1166" s="200"/>
      <c r="L1166" s="200"/>
      <c r="M1166" s="89" t="str">
        <f>IFERROR(VLOOKUP(H1166,Lijsten!$H$1:$I$100,2,0),"")</f>
        <v/>
      </c>
      <c r="N1166" s="89" t="str" cm="1">
        <f t="array" ref="N1166">IFERROR(_xlfn.IFS(AND(LEFT(F1166,6)="Arbeid",RIGHT(F1166,3)&lt;&gt;"IKS"),IFERROR(VLOOKUP($G1166,Tb_KostenTypen[],2,0),"tarief"),RIGHT(F1166,3)="IKS","Uurtarief",LEFT(F1166,6)="Arbeid","Uurtarief",AND(LEFT(F1166,8)="Bijdrage",RIGHT(F1166,15)="(vrijwilligers)"),"Vast tarief"),"")</f>
        <v/>
      </c>
      <c r="O1166" s="90"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0"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1"/>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59"/>
      <c r="Z1166" s="49"/>
      <c r="AA1166" s="37" t="str" cm="1">
        <f t="array" ref="AA1166">IFERROR(IF(INDEX(SubsidieTabel!$Q$1:$T$9,MATCH($F1166,SubsidieTabel!$Q$1:$Q$9,0),IFERROR(MATCH(Methode_Keuze,SubsidieTabel!$Q$1:$T$1,0),2))&lt;&gt;1=TRUE,"ja",""),"")</f>
        <v/>
      </c>
    </row>
    <row r="1167" spans="1:27" ht="15" customHeight="1" x14ac:dyDescent="0.25">
      <c r="A1167" s="85"/>
      <c r="B1167" s="217" t="str">
        <f>IF(A1167&lt;&gt;"",_xlfn.MAXIFS($B$1:B1166,$A$1:A1166,A1167)+1,"")</f>
        <v/>
      </c>
      <c r="C1167" s="50"/>
      <c r="D1167" s="50"/>
      <c r="E1167" s="50"/>
      <c r="F1167" s="50"/>
      <c r="G1167" s="280"/>
      <c r="H1167" s="293"/>
      <c r="I1167" s="292"/>
      <c r="J1167" s="292"/>
      <c r="K1167" s="200"/>
      <c r="L1167" s="200"/>
      <c r="M1167" s="89" t="str">
        <f>IFERROR(VLOOKUP(H1167,Lijsten!$H$1:$I$100,2,0),"")</f>
        <v/>
      </c>
      <c r="N1167" s="89" t="str" cm="1">
        <f t="array" ref="N1167">IFERROR(_xlfn.IFS(AND(LEFT(F1167,6)="Arbeid",RIGHT(F1167,3)&lt;&gt;"IKS"),IFERROR(VLOOKUP($G1167,Tb_KostenTypen[],2,0),"tarief"),RIGHT(F1167,3)="IKS","Uurtarief",LEFT(F1167,6)="Arbeid","Uurtarief",AND(LEFT(F1167,8)="Bijdrage",RIGHT(F1167,15)="(vrijwilligers)"),"Vast tarief"),"")</f>
        <v/>
      </c>
      <c r="O1167" s="90"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0"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1"/>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59"/>
      <c r="Z1167" s="49"/>
      <c r="AA1167" s="37" t="str" cm="1">
        <f t="array" ref="AA1167">IFERROR(IF(INDEX(SubsidieTabel!$Q$1:$T$9,MATCH($F1167,SubsidieTabel!$Q$1:$Q$9,0),IFERROR(MATCH(Methode_Keuze,SubsidieTabel!$Q$1:$T$1,0),2))&lt;&gt;1=TRUE,"ja",""),"")</f>
        <v/>
      </c>
    </row>
    <row r="1168" spans="1:27" ht="15" customHeight="1" x14ac:dyDescent="0.25">
      <c r="A1168" s="85"/>
      <c r="B1168" s="217" t="str">
        <f>IF(A1168&lt;&gt;"",_xlfn.MAXIFS($B$1:B1167,$A$1:A1167,A1168)+1,"")</f>
        <v/>
      </c>
      <c r="C1168" s="50"/>
      <c r="D1168" s="50"/>
      <c r="E1168" s="50"/>
      <c r="F1168" s="50"/>
      <c r="G1168" s="280"/>
      <c r="H1168" s="293"/>
      <c r="I1168" s="292"/>
      <c r="J1168" s="292"/>
      <c r="K1168" s="200"/>
      <c r="L1168" s="200"/>
      <c r="M1168" s="89" t="str">
        <f>IFERROR(VLOOKUP(H1168,Lijsten!$H$1:$I$100,2,0),"")</f>
        <v/>
      </c>
      <c r="N1168" s="89" t="str" cm="1">
        <f t="array" ref="N1168">IFERROR(_xlfn.IFS(AND(LEFT(F1168,6)="Arbeid",RIGHT(F1168,3)&lt;&gt;"IKS"),IFERROR(VLOOKUP($G1168,Tb_KostenTypen[],2,0),"tarief"),RIGHT(F1168,3)="IKS","Uurtarief",LEFT(F1168,6)="Arbeid","Uurtarief",AND(LEFT(F1168,8)="Bijdrage",RIGHT(F1168,15)="(vrijwilligers)"),"Vast tarief"),"")</f>
        <v/>
      </c>
      <c r="O1168" s="90"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0"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1"/>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59"/>
      <c r="Z1168" s="49"/>
      <c r="AA1168" s="37" t="str" cm="1">
        <f t="array" ref="AA1168">IFERROR(IF(INDEX(SubsidieTabel!$Q$1:$T$9,MATCH($F1168,SubsidieTabel!$Q$1:$Q$9,0),IFERROR(MATCH(Methode_Keuze,SubsidieTabel!$Q$1:$T$1,0),2))&lt;&gt;1=TRUE,"ja",""),"")</f>
        <v/>
      </c>
    </row>
    <row r="1169" spans="1:27" ht="15" customHeight="1" x14ac:dyDescent="0.25">
      <c r="A1169" s="85"/>
      <c r="B1169" s="217" t="str">
        <f>IF(A1169&lt;&gt;"",_xlfn.MAXIFS($B$1:B1168,$A$1:A1168,A1169)+1,"")</f>
        <v/>
      </c>
      <c r="C1169" s="50"/>
      <c r="D1169" s="50"/>
      <c r="E1169" s="50"/>
      <c r="F1169" s="50"/>
      <c r="G1169" s="280"/>
      <c r="H1169" s="293"/>
      <c r="I1169" s="292"/>
      <c r="J1169" s="292"/>
      <c r="K1169" s="200"/>
      <c r="L1169" s="200"/>
      <c r="M1169" s="89" t="str">
        <f>IFERROR(VLOOKUP(H1169,Lijsten!$H$1:$I$100,2,0),"")</f>
        <v/>
      </c>
      <c r="N1169" s="89" t="str" cm="1">
        <f t="array" ref="N1169">IFERROR(_xlfn.IFS(AND(LEFT(F1169,6)="Arbeid",RIGHT(F1169,3)&lt;&gt;"IKS"),IFERROR(VLOOKUP($G1169,Tb_KostenTypen[],2,0),"tarief"),RIGHT(F1169,3)="IKS","Uurtarief",LEFT(F1169,6)="Arbeid","Uurtarief",AND(LEFT(F1169,8)="Bijdrage",RIGHT(F1169,15)="(vrijwilligers)"),"Vast tarief"),"")</f>
        <v/>
      </c>
      <c r="O1169" s="90"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0"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1"/>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59"/>
      <c r="Z1169" s="49"/>
      <c r="AA1169" s="37" t="str" cm="1">
        <f t="array" ref="AA1169">IFERROR(IF(INDEX(SubsidieTabel!$Q$1:$T$9,MATCH($F1169,SubsidieTabel!$Q$1:$Q$9,0),IFERROR(MATCH(Methode_Keuze,SubsidieTabel!$Q$1:$T$1,0),2))&lt;&gt;1=TRUE,"ja",""),"")</f>
        <v/>
      </c>
    </row>
    <row r="1170" spans="1:27" ht="15" customHeight="1" x14ac:dyDescent="0.25">
      <c r="A1170" s="85"/>
      <c r="B1170" s="217" t="str">
        <f>IF(A1170&lt;&gt;"",_xlfn.MAXIFS($B$1:B1169,$A$1:A1169,A1170)+1,"")</f>
        <v/>
      </c>
      <c r="C1170" s="50"/>
      <c r="D1170" s="50"/>
      <c r="E1170" s="50"/>
      <c r="F1170" s="50"/>
      <c r="G1170" s="280"/>
      <c r="H1170" s="293"/>
      <c r="I1170" s="292"/>
      <c r="J1170" s="292"/>
      <c r="K1170" s="200"/>
      <c r="L1170" s="200"/>
      <c r="M1170" s="89" t="str">
        <f>IFERROR(VLOOKUP(H1170,Lijsten!$H$1:$I$100,2,0),"")</f>
        <v/>
      </c>
      <c r="N1170" s="89" t="str" cm="1">
        <f t="array" ref="N1170">IFERROR(_xlfn.IFS(AND(LEFT(F1170,6)="Arbeid",RIGHT(F1170,3)&lt;&gt;"IKS"),IFERROR(VLOOKUP($G1170,Tb_KostenTypen[],2,0),"tarief"),RIGHT(F1170,3)="IKS","Uurtarief",LEFT(F1170,6)="Arbeid","Uurtarief",AND(LEFT(F1170,8)="Bijdrage",RIGHT(F1170,15)="(vrijwilligers)"),"Vast tarief"),"")</f>
        <v/>
      </c>
      <c r="O1170" s="90"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0"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1"/>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59"/>
      <c r="Z1170" s="49"/>
      <c r="AA1170" s="37" t="str" cm="1">
        <f t="array" ref="AA1170">IFERROR(IF(INDEX(SubsidieTabel!$Q$1:$T$9,MATCH($F1170,SubsidieTabel!$Q$1:$Q$9,0),IFERROR(MATCH(Methode_Keuze,SubsidieTabel!$Q$1:$T$1,0),2))&lt;&gt;1=TRUE,"ja",""),"")</f>
        <v/>
      </c>
    </row>
    <row r="1171" spans="1:27" ht="15" customHeight="1" x14ac:dyDescent="0.25">
      <c r="A1171" s="85"/>
      <c r="B1171" s="217" t="str">
        <f>IF(A1171&lt;&gt;"",_xlfn.MAXIFS($B$1:B1170,$A$1:A1170,A1171)+1,"")</f>
        <v/>
      </c>
      <c r="C1171" s="50"/>
      <c r="D1171" s="50"/>
      <c r="E1171" s="50"/>
      <c r="F1171" s="50"/>
      <c r="G1171" s="280"/>
      <c r="H1171" s="293"/>
      <c r="I1171" s="292"/>
      <c r="J1171" s="292"/>
      <c r="K1171" s="200"/>
      <c r="L1171" s="200"/>
      <c r="M1171" s="89" t="str">
        <f>IFERROR(VLOOKUP(H1171,Lijsten!$H$1:$I$100,2,0),"")</f>
        <v/>
      </c>
      <c r="N1171" s="89" t="str" cm="1">
        <f t="array" ref="N1171">IFERROR(_xlfn.IFS(AND(LEFT(F1171,6)="Arbeid",RIGHT(F1171,3)&lt;&gt;"IKS"),IFERROR(VLOOKUP($G1171,Tb_KostenTypen[],2,0),"tarief"),RIGHT(F1171,3)="IKS","Uurtarief",LEFT(F1171,6)="Arbeid","Uurtarief",AND(LEFT(F1171,8)="Bijdrage",RIGHT(F1171,15)="(vrijwilligers)"),"Vast tarief"),"")</f>
        <v/>
      </c>
      <c r="O1171" s="90"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0"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1"/>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59"/>
      <c r="Z1171" s="49"/>
      <c r="AA1171" s="37" t="str" cm="1">
        <f t="array" ref="AA1171">IFERROR(IF(INDEX(SubsidieTabel!$Q$1:$T$9,MATCH($F1171,SubsidieTabel!$Q$1:$Q$9,0),IFERROR(MATCH(Methode_Keuze,SubsidieTabel!$Q$1:$T$1,0),2))&lt;&gt;1=TRUE,"ja",""),"")</f>
        <v/>
      </c>
    </row>
    <row r="1172" spans="1:27" ht="15" customHeight="1" x14ac:dyDescent="0.25">
      <c r="A1172" s="85"/>
      <c r="B1172" s="217" t="str">
        <f>IF(A1172&lt;&gt;"",_xlfn.MAXIFS($B$1:B1171,$A$1:A1171,A1172)+1,"")</f>
        <v/>
      </c>
      <c r="C1172" s="50"/>
      <c r="D1172" s="50"/>
      <c r="E1172" s="50"/>
      <c r="F1172" s="50"/>
      <c r="G1172" s="280"/>
      <c r="H1172" s="293"/>
      <c r="I1172" s="292"/>
      <c r="J1172" s="292"/>
      <c r="K1172" s="200"/>
      <c r="L1172" s="200"/>
      <c r="M1172" s="89" t="str">
        <f>IFERROR(VLOOKUP(H1172,Lijsten!$H$1:$I$100,2,0),"")</f>
        <v/>
      </c>
      <c r="N1172" s="89" t="str" cm="1">
        <f t="array" ref="N1172">IFERROR(_xlfn.IFS(AND(LEFT(F1172,6)="Arbeid",RIGHT(F1172,3)&lt;&gt;"IKS"),IFERROR(VLOOKUP($G1172,Tb_KostenTypen[],2,0),"tarief"),RIGHT(F1172,3)="IKS","Uurtarief",LEFT(F1172,6)="Arbeid","Uurtarief",AND(LEFT(F1172,8)="Bijdrage",RIGHT(F1172,15)="(vrijwilligers)"),"Vast tarief"),"")</f>
        <v/>
      </c>
      <c r="O1172" s="90"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0"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1"/>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59"/>
      <c r="Z1172" s="49"/>
      <c r="AA1172" s="37" t="str" cm="1">
        <f t="array" ref="AA1172">IFERROR(IF(INDEX(SubsidieTabel!$Q$1:$T$9,MATCH($F1172,SubsidieTabel!$Q$1:$Q$9,0),IFERROR(MATCH(Methode_Keuze,SubsidieTabel!$Q$1:$T$1,0),2))&lt;&gt;1=TRUE,"ja",""),"")</f>
        <v/>
      </c>
    </row>
    <row r="1173" spans="1:27" ht="15" customHeight="1" x14ac:dyDescent="0.25">
      <c r="A1173" s="85"/>
      <c r="B1173" s="217" t="str">
        <f>IF(A1173&lt;&gt;"",_xlfn.MAXIFS($B$1:B1172,$A$1:A1172,A1173)+1,"")</f>
        <v/>
      </c>
      <c r="C1173" s="50"/>
      <c r="D1173" s="50"/>
      <c r="E1173" s="50"/>
      <c r="F1173" s="50"/>
      <c r="G1173" s="280"/>
      <c r="H1173" s="293"/>
      <c r="I1173" s="292"/>
      <c r="J1173" s="292"/>
      <c r="K1173" s="200"/>
      <c r="L1173" s="200"/>
      <c r="M1173" s="89" t="str">
        <f>IFERROR(VLOOKUP(H1173,Lijsten!$H$1:$I$100,2,0),"")</f>
        <v/>
      </c>
      <c r="N1173" s="89" t="str" cm="1">
        <f t="array" ref="N1173">IFERROR(_xlfn.IFS(AND(LEFT(F1173,6)="Arbeid",RIGHT(F1173,3)&lt;&gt;"IKS"),IFERROR(VLOOKUP($G1173,Tb_KostenTypen[],2,0),"tarief"),RIGHT(F1173,3)="IKS","Uurtarief",LEFT(F1173,6)="Arbeid","Uurtarief",AND(LEFT(F1173,8)="Bijdrage",RIGHT(F1173,15)="(vrijwilligers)"),"Vast tarief"),"")</f>
        <v/>
      </c>
      <c r="O1173" s="90"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0"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1"/>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59"/>
      <c r="Z1173" s="49"/>
      <c r="AA1173" s="37" t="str" cm="1">
        <f t="array" ref="AA1173">IFERROR(IF(INDEX(SubsidieTabel!$Q$1:$T$9,MATCH($F1173,SubsidieTabel!$Q$1:$Q$9,0),IFERROR(MATCH(Methode_Keuze,SubsidieTabel!$Q$1:$T$1,0),2))&lt;&gt;1=TRUE,"ja",""),"")</f>
        <v/>
      </c>
    </row>
    <row r="1174" spans="1:27" ht="15" customHeight="1" x14ac:dyDescent="0.25">
      <c r="A1174" s="85"/>
      <c r="B1174" s="217" t="str">
        <f>IF(A1174&lt;&gt;"",_xlfn.MAXIFS($B$1:B1173,$A$1:A1173,A1174)+1,"")</f>
        <v/>
      </c>
      <c r="C1174" s="50"/>
      <c r="D1174" s="50"/>
      <c r="E1174" s="50"/>
      <c r="F1174" s="50"/>
      <c r="G1174" s="280"/>
      <c r="H1174" s="293"/>
      <c r="I1174" s="292"/>
      <c r="J1174" s="292"/>
      <c r="K1174" s="200"/>
      <c r="L1174" s="200"/>
      <c r="M1174" s="89" t="str">
        <f>IFERROR(VLOOKUP(H1174,Lijsten!$H$1:$I$100,2,0),"")</f>
        <v/>
      </c>
      <c r="N1174" s="89" t="str" cm="1">
        <f t="array" ref="N1174">IFERROR(_xlfn.IFS(AND(LEFT(F1174,6)="Arbeid",RIGHT(F1174,3)&lt;&gt;"IKS"),IFERROR(VLOOKUP($G1174,Tb_KostenTypen[],2,0),"tarief"),RIGHT(F1174,3)="IKS","Uurtarief",LEFT(F1174,6)="Arbeid","Uurtarief",AND(LEFT(F1174,8)="Bijdrage",RIGHT(F1174,15)="(vrijwilligers)"),"Vast tarief"),"")</f>
        <v/>
      </c>
      <c r="O1174" s="90"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0"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1"/>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59"/>
      <c r="Z1174" s="49"/>
      <c r="AA1174" s="37" t="str" cm="1">
        <f t="array" ref="AA1174">IFERROR(IF(INDEX(SubsidieTabel!$Q$1:$T$9,MATCH($F1174,SubsidieTabel!$Q$1:$Q$9,0),IFERROR(MATCH(Methode_Keuze,SubsidieTabel!$Q$1:$T$1,0),2))&lt;&gt;1=TRUE,"ja",""),"")</f>
        <v/>
      </c>
    </row>
    <row r="1175" spans="1:27" ht="15" customHeight="1" x14ac:dyDescent="0.25">
      <c r="A1175" s="85"/>
      <c r="B1175" s="217" t="str">
        <f>IF(A1175&lt;&gt;"",_xlfn.MAXIFS($B$1:B1174,$A$1:A1174,A1175)+1,"")</f>
        <v/>
      </c>
      <c r="C1175" s="50"/>
      <c r="D1175" s="50"/>
      <c r="E1175" s="50"/>
      <c r="F1175" s="50"/>
      <c r="G1175" s="280"/>
      <c r="H1175" s="293"/>
      <c r="I1175" s="292"/>
      <c r="J1175" s="292"/>
      <c r="K1175" s="200"/>
      <c r="L1175" s="200"/>
      <c r="M1175" s="89" t="str">
        <f>IFERROR(VLOOKUP(H1175,Lijsten!$H$1:$I$100,2,0),"")</f>
        <v/>
      </c>
      <c r="N1175" s="89" t="str" cm="1">
        <f t="array" ref="N1175">IFERROR(_xlfn.IFS(AND(LEFT(F1175,6)="Arbeid",RIGHT(F1175,3)&lt;&gt;"IKS"),IFERROR(VLOOKUP($G1175,Tb_KostenTypen[],2,0),"tarief"),RIGHT(F1175,3)="IKS","Uurtarief",LEFT(F1175,6)="Arbeid","Uurtarief",AND(LEFT(F1175,8)="Bijdrage",RIGHT(F1175,15)="(vrijwilligers)"),"Vast tarief"),"")</f>
        <v/>
      </c>
      <c r="O1175" s="90"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0"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1"/>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59"/>
      <c r="Z1175" s="49"/>
      <c r="AA1175" s="37" t="str" cm="1">
        <f t="array" ref="AA1175">IFERROR(IF(INDEX(SubsidieTabel!$Q$1:$T$9,MATCH($F1175,SubsidieTabel!$Q$1:$Q$9,0),IFERROR(MATCH(Methode_Keuze,SubsidieTabel!$Q$1:$T$1,0),2))&lt;&gt;1=TRUE,"ja",""),"")</f>
        <v/>
      </c>
    </row>
    <row r="1176" spans="1:27" ht="15" customHeight="1" x14ac:dyDescent="0.25">
      <c r="A1176" s="85"/>
      <c r="B1176" s="217" t="str">
        <f>IF(A1176&lt;&gt;"",_xlfn.MAXIFS($B$1:B1175,$A$1:A1175,A1176)+1,"")</f>
        <v/>
      </c>
      <c r="C1176" s="50"/>
      <c r="D1176" s="50"/>
      <c r="E1176" s="50"/>
      <c r="F1176" s="50"/>
      <c r="G1176" s="280"/>
      <c r="H1176" s="293"/>
      <c r="I1176" s="292"/>
      <c r="J1176" s="292"/>
      <c r="K1176" s="200"/>
      <c r="L1176" s="200"/>
      <c r="M1176" s="89" t="str">
        <f>IFERROR(VLOOKUP(H1176,Lijsten!$H$1:$I$100,2,0),"")</f>
        <v/>
      </c>
      <c r="N1176" s="89" t="str" cm="1">
        <f t="array" ref="N1176">IFERROR(_xlfn.IFS(AND(LEFT(F1176,6)="Arbeid",RIGHT(F1176,3)&lt;&gt;"IKS"),IFERROR(VLOOKUP($G1176,Tb_KostenTypen[],2,0),"tarief"),RIGHT(F1176,3)="IKS","Uurtarief",LEFT(F1176,6)="Arbeid","Uurtarief",AND(LEFT(F1176,8)="Bijdrage",RIGHT(F1176,15)="(vrijwilligers)"),"Vast tarief"),"")</f>
        <v/>
      </c>
      <c r="O1176" s="90"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0"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1"/>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59"/>
      <c r="Z1176" s="49"/>
      <c r="AA1176" s="37" t="str" cm="1">
        <f t="array" ref="AA1176">IFERROR(IF(INDEX(SubsidieTabel!$Q$1:$T$9,MATCH($F1176,SubsidieTabel!$Q$1:$Q$9,0),IFERROR(MATCH(Methode_Keuze,SubsidieTabel!$Q$1:$T$1,0),2))&lt;&gt;1=TRUE,"ja",""),"")</f>
        <v/>
      </c>
    </row>
    <row r="1177" spans="1:27" ht="15" customHeight="1" x14ac:dyDescent="0.25">
      <c r="A1177" s="85"/>
      <c r="B1177" s="217" t="str">
        <f>IF(A1177&lt;&gt;"",_xlfn.MAXIFS($B$1:B1176,$A$1:A1176,A1177)+1,"")</f>
        <v/>
      </c>
      <c r="C1177" s="50"/>
      <c r="D1177" s="50"/>
      <c r="E1177" s="50"/>
      <c r="F1177" s="50"/>
      <c r="G1177" s="280"/>
      <c r="H1177" s="293"/>
      <c r="I1177" s="292"/>
      <c r="J1177" s="292"/>
      <c r="K1177" s="200"/>
      <c r="L1177" s="200"/>
      <c r="M1177" s="89" t="str">
        <f>IFERROR(VLOOKUP(H1177,Lijsten!$H$1:$I$100,2,0),"")</f>
        <v/>
      </c>
      <c r="N1177" s="89" t="str" cm="1">
        <f t="array" ref="N1177">IFERROR(_xlfn.IFS(AND(LEFT(F1177,6)="Arbeid",RIGHT(F1177,3)&lt;&gt;"IKS"),IFERROR(VLOOKUP($G1177,Tb_KostenTypen[],2,0),"tarief"),RIGHT(F1177,3)="IKS","Uurtarief",LEFT(F1177,6)="Arbeid","Uurtarief",AND(LEFT(F1177,8)="Bijdrage",RIGHT(F1177,15)="(vrijwilligers)"),"Vast tarief"),"")</f>
        <v/>
      </c>
      <c r="O1177" s="90"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0"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1"/>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59"/>
      <c r="Z1177" s="49"/>
      <c r="AA1177" s="37" t="str" cm="1">
        <f t="array" ref="AA1177">IFERROR(IF(INDEX(SubsidieTabel!$Q$1:$T$9,MATCH($F1177,SubsidieTabel!$Q$1:$Q$9,0),IFERROR(MATCH(Methode_Keuze,SubsidieTabel!$Q$1:$T$1,0),2))&lt;&gt;1=TRUE,"ja",""),"")</f>
        <v/>
      </c>
    </row>
    <row r="1178" spans="1:27" ht="15" customHeight="1" x14ac:dyDescent="0.25">
      <c r="A1178" s="85"/>
      <c r="B1178" s="217" t="str">
        <f>IF(A1178&lt;&gt;"",_xlfn.MAXIFS($B$1:B1177,$A$1:A1177,A1178)+1,"")</f>
        <v/>
      </c>
      <c r="C1178" s="50"/>
      <c r="D1178" s="50"/>
      <c r="E1178" s="50"/>
      <c r="F1178" s="50"/>
      <c r="G1178" s="280"/>
      <c r="H1178" s="293"/>
      <c r="I1178" s="292"/>
      <c r="J1178" s="292"/>
      <c r="K1178" s="200"/>
      <c r="L1178" s="200"/>
      <c r="M1178" s="89" t="str">
        <f>IFERROR(VLOOKUP(H1178,Lijsten!$H$1:$I$100,2,0),"")</f>
        <v/>
      </c>
      <c r="N1178" s="89" t="str" cm="1">
        <f t="array" ref="N1178">IFERROR(_xlfn.IFS(AND(LEFT(F1178,6)="Arbeid",RIGHT(F1178,3)&lt;&gt;"IKS"),IFERROR(VLOOKUP($G1178,Tb_KostenTypen[],2,0),"tarief"),RIGHT(F1178,3)="IKS","Uurtarief",LEFT(F1178,6)="Arbeid","Uurtarief",AND(LEFT(F1178,8)="Bijdrage",RIGHT(F1178,15)="(vrijwilligers)"),"Vast tarief"),"")</f>
        <v/>
      </c>
      <c r="O1178" s="90"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0"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1"/>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59"/>
      <c r="Z1178" s="49"/>
      <c r="AA1178" s="37" t="str" cm="1">
        <f t="array" ref="AA1178">IFERROR(IF(INDEX(SubsidieTabel!$Q$1:$T$9,MATCH($F1178,SubsidieTabel!$Q$1:$Q$9,0),IFERROR(MATCH(Methode_Keuze,SubsidieTabel!$Q$1:$T$1,0),2))&lt;&gt;1=TRUE,"ja",""),"")</f>
        <v/>
      </c>
    </row>
    <row r="1179" spans="1:27" ht="15" customHeight="1" x14ac:dyDescent="0.25">
      <c r="A1179" s="85"/>
      <c r="B1179" s="217" t="str">
        <f>IF(A1179&lt;&gt;"",_xlfn.MAXIFS($B$1:B1178,$A$1:A1178,A1179)+1,"")</f>
        <v/>
      </c>
      <c r="C1179" s="50"/>
      <c r="D1179" s="50"/>
      <c r="E1179" s="50"/>
      <c r="F1179" s="50"/>
      <c r="G1179" s="280"/>
      <c r="H1179" s="293"/>
      <c r="I1179" s="292"/>
      <c r="J1179" s="292"/>
      <c r="K1179" s="200"/>
      <c r="L1179" s="200"/>
      <c r="M1179" s="89" t="str">
        <f>IFERROR(VLOOKUP(H1179,Lijsten!$H$1:$I$100,2,0),"")</f>
        <v/>
      </c>
      <c r="N1179" s="89" t="str" cm="1">
        <f t="array" ref="N1179">IFERROR(_xlfn.IFS(AND(LEFT(F1179,6)="Arbeid",RIGHT(F1179,3)&lt;&gt;"IKS"),IFERROR(VLOOKUP($G1179,Tb_KostenTypen[],2,0),"tarief"),RIGHT(F1179,3)="IKS","Uurtarief",LEFT(F1179,6)="Arbeid","Uurtarief",AND(LEFT(F1179,8)="Bijdrage",RIGHT(F1179,15)="(vrijwilligers)"),"Vast tarief"),"")</f>
        <v/>
      </c>
      <c r="O1179" s="90"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0"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1"/>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59"/>
      <c r="Z1179" s="49"/>
      <c r="AA1179" s="37" t="str" cm="1">
        <f t="array" ref="AA1179">IFERROR(IF(INDEX(SubsidieTabel!$Q$1:$T$9,MATCH($F1179,SubsidieTabel!$Q$1:$Q$9,0),IFERROR(MATCH(Methode_Keuze,SubsidieTabel!$Q$1:$T$1,0),2))&lt;&gt;1=TRUE,"ja",""),"")</f>
        <v/>
      </c>
    </row>
    <row r="1180" spans="1:27" ht="15" customHeight="1" x14ac:dyDescent="0.25">
      <c r="A1180" s="85"/>
      <c r="B1180" s="217" t="str">
        <f>IF(A1180&lt;&gt;"",_xlfn.MAXIFS($B$1:B1179,$A$1:A1179,A1180)+1,"")</f>
        <v/>
      </c>
      <c r="C1180" s="50"/>
      <c r="D1180" s="50"/>
      <c r="E1180" s="50"/>
      <c r="F1180" s="50"/>
      <c r="G1180" s="280"/>
      <c r="H1180" s="293"/>
      <c r="I1180" s="292"/>
      <c r="J1180" s="292"/>
      <c r="K1180" s="200"/>
      <c r="L1180" s="200"/>
      <c r="M1180" s="89" t="str">
        <f>IFERROR(VLOOKUP(H1180,Lijsten!$H$1:$I$100,2,0),"")</f>
        <v/>
      </c>
      <c r="N1180" s="89" t="str" cm="1">
        <f t="array" ref="N1180">IFERROR(_xlfn.IFS(AND(LEFT(F1180,6)="Arbeid",RIGHT(F1180,3)&lt;&gt;"IKS"),IFERROR(VLOOKUP($G1180,Tb_KostenTypen[],2,0),"tarief"),RIGHT(F1180,3)="IKS","Uurtarief",LEFT(F1180,6)="Arbeid","Uurtarief",AND(LEFT(F1180,8)="Bijdrage",RIGHT(F1180,15)="(vrijwilligers)"),"Vast tarief"),"")</f>
        <v/>
      </c>
      <c r="O1180" s="90"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0"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1"/>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59"/>
      <c r="Z1180" s="49"/>
      <c r="AA1180" s="37" t="str" cm="1">
        <f t="array" ref="AA1180">IFERROR(IF(INDEX(SubsidieTabel!$Q$1:$T$9,MATCH($F1180,SubsidieTabel!$Q$1:$Q$9,0),IFERROR(MATCH(Methode_Keuze,SubsidieTabel!$Q$1:$T$1,0),2))&lt;&gt;1=TRUE,"ja",""),"")</f>
        <v/>
      </c>
    </row>
    <row r="1181" spans="1:27" ht="15" customHeight="1" x14ac:dyDescent="0.25">
      <c r="A1181" s="85"/>
      <c r="B1181" s="217" t="str">
        <f>IF(A1181&lt;&gt;"",_xlfn.MAXIFS($B$1:B1180,$A$1:A1180,A1181)+1,"")</f>
        <v/>
      </c>
      <c r="C1181" s="50"/>
      <c r="D1181" s="50"/>
      <c r="E1181" s="50"/>
      <c r="F1181" s="50"/>
      <c r="G1181" s="280"/>
      <c r="H1181" s="293"/>
      <c r="I1181" s="292"/>
      <c r="J1181" s="292"/>
      <c r="K1181" s="200"/>
      <c r="L1181" s="200"/>
      <c r="M1181" s="89" t="str">
        <f>IFERROR(VLOOKUP(H1181,Lijsten!$H$1:$I$100,2,0),"")</f>
        <v/>
      </c>
      <c r="N1181" s="89" t="str" cm="1">
        <f t="array" ref="N1181">IFERROR(_xlfn.IFS(AND(LEFT(F1181,6)="Arbeid",RIGHT(F1181,3)&lt;&gt;"IKS"),IFERROR(VLOOKUP($G1181,Tb_KostenTypen[],2,0),"tarief"),RIGHT(F1181,3)="IKS","Uurtarief",LEFT(F1181,6)="Arbeid","Uurtarief",AND(LEFT(F1181,8)="Bijdrage",RIGHT(F1181,15)="(vrijwilligers)"),"Vast tarief"),"")</f>
        <v/>
      </c>
      <c r="O1181" s="90"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0"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1"/>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59"/>
      <c r="Z1181" s="49"/>
      <c r="AA1181" s="37" t="str" cm="1">
        <f t="array" ref="AA1181">IFERROR(IF(INDEX(SubsidieTabel!$Q$1:$T$9,MATCH($F1181,SubsidieTabel!$Q$1:$Q$9,0),IFERROR(MATCH(Methode_Keuze,SubsidieTabel!$Q$1:$T$1,0),2))&lt;&gt;1=TRUE,"ja",""),"")</f>
        <v/>
      </c>
    </row>
    <row r="1182" spans="1:27" ht="15" customHeight="1" x14ac:dyDescent="0.25">
      <c r="A1182" s="85"/>
      <c r="B1182" s="217" t="str">
        <f>IF(A1182&lt;&gt;"",_xlfn.MAXIFS($B$1:B1181,$A$1:A1181,A1182)+1,"")</f>
        <v/>
      </c>
      <c r="C1182" s="50"/>
      <c r="D1182" s="50"/>
      <c r="E1182" s="50"/>
      <c r="F1182" s="50"/>
      <c r="G1182" s="280"/>
      <c r="H1182" s="293"/>
      <c r="I1182" s="292"/>
      <c r="J1182" s="292"/>
      <c r="K1182" s="200"/>
      <c r="L1182" s="200"/>
      <c r="M1182" s="89" t="str">
        <f>IFERROR(VLOOKUP(H1182,Lijsten!$H$1:$I$100,2,0),"")</f>
        <v/>
      </c>
      <c r="N1182" s="89" t="str" cm="1">
        <f t="array" ref="N1182">IFERROR(_xlfn.IFS(AND(LEFT(F1182,6)="Arbeid",RIGHT(F1182,3)&lt;&gt;"IKS"),IFERROR(VLOOKUP($G1182,Tb_KostenTypen[],2,0),"tarief"),RIGHT(F1182,3)="IKS","Uurtarief",LEFT(F1182,6)="Arbeid","Uurtarief",AND(LEFT(F1182,8)="Bijdrage",RIGHT(F1182,15)="(vrijwilligers)"),"Vast tarief"),"")</f>
        <v/>
      </c>
      <c r="O1182" s="90"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0"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1"/>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59"/>
      <c r="Z1182" s="49"/>
      <c r="AA1182" s="37" t="str" cm="1">
        <f t="array" ref="AA1182">IFERROR(IF(INDEX(SubsidieTabel!$Q$1:$T$9,MATCH($F1182,SubsidieTabel!$Q$1:$Q$9,0),IFERROR(MATCH(Methode_Keuze,SubsidieTabel!$Q$1:$T$1,0),2))&lt;&gt;1=TRUE,"ja",""),"")</f>
        <v/>
      </c>
    </row>
    <row r="1183" spans="1:27" ht="15" customHeight="1" x14ac:dyDescent="0.25">
      <c r="A1183" s="85"/>
      <c r="B1183" s="217" t="str">
        <f>IF(A1183&lt;&gt;"",_xlfn.MAXIFS($B$1:B1182,$A$1:A1182,A1183)+1,"")</f>
        <v/>
      </c>
      <c r="C1183" s="50"/>
      <c r="D1183" s="50"/>
      <c r="E1183" s="50"/>
      <c r="F1183" s="50"/>
      <c r="G1183" s="280"/>
      <c r="H1183" s="293"/>
      <c r="I1183" s="292"/>
      <c r="J1183" s="292"/>
      <c r="K1183" s="200"/>
      <c r="L1183" s="200"/>
      <c r="M1183" s="89" t="str">
        <f>IFERROR(VLOOKUP(H1183,Lijsten!$H$1:$I$100,2,0),"")</f>
        <v/>
      </c>
      <c r="N1183" s="89" t="str" cm="1">
        <f t="array" ref="N1183">IFERROR(_xlfn.IFS(AND(LEFT(F1183,6)="Arbeid",RIGHT(F1183,3)&lt;&gt;"IKS"),IFERROR(VLOOKUP($G1183,Tb_KostenTypen[],2,0),"tarief"),RIGHT(F1183,3)="IKS","Uurtarief",LEFT(F1183,6)="Arbeid","Uurtarief",AND(LEFT(F1183,8)="Bijdrage",RIGHT(F1183,15)="(vrijwilligers)"),"Vast tarief"),"")</f>
        <v/>
      </c>
      <c r="O1183" s="90"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0"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1"/>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59"/>
      <c r="Z1183" s="49"/>
      <c r="AA1183" s="37" t="str" cm="1">
        <f t="array" ref="AA1183">IFERROR(IF(INDEX(SubsidieTabel!$Q$1:$T$9,MATCH($F1183,SubsidieTabel!$Q$1:$Q$9,0),IFERROR(MATCH(Methode_Keuze,SubsidieTabel!$Q$1:$T$1,0),2))&lt;&gt;1=TRUE,"ja",""),"")</f>
        <v/>
      </c>
    </row>
    <row r="1184" spans="1:27" ht="15" customHeight="1" x14ac:dyDescent="0.25">
      <c r="A1184" s="85"/>
      <c r="B1184" s="217" t="str">
        <f>IF(A1184&lt;&gt;"",_xlfn.MAXIFS($B$1:B1183,$A$1:A1183,A1184)+1,"")</f>
        <v/>
      </c>
      <c r="C1184" s="50"/>
      <c r="D1184" s="50"/>
      <c r="E1184" s="50"/>
      <c r="F1184" s="50"/>
      <c r="G1184" s="280"/>
      <c r="H1184" s="293"/>
      <c r="I1184" s="292"/>
      <c r="J1184" s="292"/>
      <c r="K1184" s="200"/>
      <c r="L1184" s="200"/>
      <c r="M1184" s="89" t="str">
        <f>IFERROR(VLOOKUP(H1184,Lijsten!$H$1:$I$100,2,0),"")</f>
        <v/>
      </c>
      <c r="N1184" s="89" t="str" cm="1">
        <f t="array" ref="N1184">IFERROR(_xlfn.IFS(AND(LEFT(F1184,6)="Arbeid",RIGHT(F1184,3)&lt;&gt;"IKS"),IFERROR(VLOOKUP($G1184,Tb_KostenTypen[],2,0),"tarief"),RIGHT(F1184,3)="IKS","Uurtarief",LEFT(F1184,6)="Arbeid","Uurtarief",AND(LEFT(F1184,8)="Bijdrage",RIGHT(F1184,15)="(vrijwilligers)"),"Vast tarief"),"")</f>
        <v/>
      </c>
      <c r="O1184" s="90"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0"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1"/>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59"/>
      <c r="Z1184" s="49"/>
      <c r="AA1184" s="37" t="str" cm="1">
        <f t="array" ref="AA1184">IFERROR(IF(INDEX(SubsidieTabel!$Q$1:$T$9,MATCH($F1184,SubsidieTabel!$Q$1:$Q$9,0),IFERROR(MATCH(Methode_Keuze,SubsidieTabel!$Q$1:$T$1,0),2))&lt;&gt;1=TRUE,"ja",""),"")</f>
        <v/>
      </c>
    </row>
    <row r="1185" spans="1:27" ht="15" customHeight="1" x14ac:dyDescent="0.25">
      <c r="A1185" s="85"/>
      <c r="B1185" s="217" t="str">
        <f>IF(A1185&lt;&gt;"",_xlfn.MAXIFS($B$1:B1184,$A$1:A1184,A1185)+1,"")</f>
        <v/>
      </c>
      <c r="C1185" s="50"/>
      <c r="D1185" s="50"/>
      <c r="E1185" s="50"/>
      <c r="F1185" s="50"/>
      <c r="G1185" s="280"/>
      <c r="H1185" s="293"/>
      <c r="I1185" s="292"/>
      <c r="J1185" s="292"/>
      <c r="K1185" s="200"/>
      <c r="L1185" s="200"/>
      <c r="M1185" s="89" t="str">
        <f>IFERROR(VLOOKUP(H1185,Lijsten!$H$1:$I$100,2,0),"")</f>
        <v/>
      </c>
      <c r="N1185" s="89" t="str" cm="1">
        <f t="array" ref="N1185">IFERROR(_xlfn.IFS(AND(LEFT(F1185,6)="Arbeid",RIGHT(F1185,3)&lt;&gt;"IKS"),IFERROR(VLOOKUP($G1185,Tb_KostenTypen[],2,0),"tarief"),RIGHT(F1185,3)="IKS","Uurtarief",LEFT(F1185,6)="Arbeid","Uurtarief",AND(LEFT(F1185,8)="Bijdrage",RIGHT(F1185,15)="(vrijwilligers)"),"Vast tarief"),"")</f>
        <v/>
      </c>
      <c r="O1185" s="90"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0"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1"/>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59"/>
      <c r="Z1185" s="49"/>
      <c r="AA1185" s="37" t="str" cm="1">
        <f t="array" ref="AA1185">IFERROR(IF(INDEX(SubsidieTabel!$Q$1:$T$9,MATCH($F1185,SubsidieTabel!$Q$1:$Q$9,0),IFERROR(MATCH(Methode_Keuze,SubsidieTabel!$Q$1:$T$1,0),2))&lt;&gt;1=TRUE,"ja",""),"")</f>
        <v/>
      </c>
    </row>
    <row r="1186" spans="1:27" ht="15" customHeight="1" x14ac:dyDescent="0.25">
      <c r="A1186" s="85"/>
      <c r="B1186" s="217" t="str">
        <f>IF(A1186&lt;&gt;"",_xlfn.MAXIFS($B$1:B1185,$A$1:A1185,A1186)+1,"")</f>
        <v/>
      </c>
      <c r="C1186" s="50"/>
      <c r="D1186" s="50"/>
      <c r="E1186" s="50"/>
      <c r="F1186" s="50"/>
      <c r="G1186" s="280"/>
      <c r="H1186" s="293"/>
      <c r="I1186" s="292"/>
      <c r="J1186" s="292"/>
      <c r="K1186" s="200"/>
      <c r="L1186" s="200"/>
      <c r="M1186" s="89" t="str">
        <f>IFERROR(VLOOKUP(H1186,Lijsten!$H$1:$I$100,2,0),"")</f>
        <v/>
      </c>
      <c r="N1186" s="89" t="str" cm="1">
        <f t="array" ref="N1186">IFERROR(_xlfn.IFS(AND(LEFT(F1186,6)="Arbeid",RIGHT(F1186,3)&lt;&gt;"IKS"),IFERROR(VLOOKUP($G1186,Tb_KostenTypen[],2,0),"tarief"),RIGHT(F1186,3)="IKS","Uurtarief",LEFT(F1186,6)="Arbeid","Uurtarief",AND(LEFT(F1186,8)="Bijdrage",RIGHT(F1186,15)="(vrijwilligers)"),"Vast tarief"),"")</f>
        <v/>
      </c>
      <c r="O1186" s="90"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0"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1"/>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59"/>
      <c r="Z1186" s="49"/>
      <c r="AA1186" s="37" t="str" cm="1">
        <f t="array" ref="AA1186">IFERROR(IF(INDEX(SubsidieTabel!$Q$1:$T$9,MATCH($F1186,SubsidieTabel!$Q$1:$Q$9,0),IFERROR(MATCH(Methode_Keuze,SubsidieTabel!$Q$1:$T$1,0),2))&lt;&gt;1=TRUE,"ja",""),"")</f>
        <v/>
      </c>
    </row>
    <row r="1187" spans="1:27" ht="15" customHeight="1" x14ac:dyDescent="0.25">
      <c r="A1187" s="85"/>
      <c r="B1187" s="217" t="str">
        <f>IF(A1187&lt;&gt;"",_xlfn.MAXIFS($B$1:B1186,$A$1:A1186,A1187)+1,"")</f>
        <v/>
      </c>
      <c r="C1187" s="50"/>
      <c r="D1187" s="50"/>
      <c r="E1187" s="50"/>
      <c r="F1187" s="50"/>
      <c r="G1187" s="280"/>
      <c r="H1187" s="293"/>
      <c r="I1187" s="292"/>
      <c r="J1187" s="292"/>
      <c r="K1187" s="200"/>
      <c r="L1187" s="200"/>
      <c r="M1187" s="89" t="str">
        <f>IFERROR(VLOOKUP(H1187,Lijsten!$H$1:$I$100,2,0),"")</f>
        <v/>
      </c>
      <c r="N1187" s="89" t="str" cm="1">
        <f t="array" ref="N1187">IFERROR(_xlfn.IFS(AND(LEFT(F1187,6)="Arbeid",RIGHT(F1187,3)&lt;&gt;"IKS"),IFERROR(VLOOKUP($G1187,Tb_KostenTypen[],2,0),"tarief"),RIGHT(F1187,3)="IKS","Uurtarief",LEFT(F1187,6)="Arbeid","Uurtarief",AND(LEFT(F1187,8)="Bijdrage",RIGHT(F1187,15)="(vrijwilligers)"),"Vast tarief"),"")</f>
        <v/>
      </c>
      <c r="O1187" s="90"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0"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1"/>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59"/>
      <c r="Z1187" s="49"/>
      <c r="AA1187" s="37" t="str" cm="1">
        <f t="array" ref="AA1187">IFERROR(IF(INDEX(SubsidieTabel!$Q$1:$T$9,MATCH($F1187,SubsidieTabel!$Q$1:$Q$9,0),IFERROR(MATCH(Methode_Keuze,SubsidieTabel!$Q$1:$T$1,0),2))&lt;&gt;1=TRUE,"ja",""),"")</f>
        <v/>
      </c>
    </row>
    <row r="1188" spans="1:27" ht="15" customHeight="1" x14ac:dyDescent="0.25">
      <c r="A1188" s="85"/>
      <c r="B1188" s="217" t="str">
        <f>IF(A1188&lt;&gt;"",_xlfn.MAXIFS($B$1:B1187,$A$1:A1187,A1188)+1,"")</f>
        <v/>
      </c>
      <c r="C1188" s="50"/>
      <c r="D1188" s="50"/>
      <c r="E1188" s="50"/>
      <c r="F1188" s="50"/>
      <c r="G1188" s="280"/>
      <c r="H1188" s="293"/>
      <c r="I1188" s="292"/>
      <c r="J1188" s="292"/>
      <c r="K1188" s="200"/>
      <c r="L1188" s="200"/>
      <c r="M1188" s="89" t="str">
        <f>IFERROR(VLOOKUP(H1188,Lijsten!$H$1:$I$100,2,0),"")</f>
        <v/>
      </c>
      <c r="N1188" s="89" t="str" cm="1">
        <f t="array" ref="N1188">IFERROR(_xlfn.IFS(AND(LEFT(F1188,6)="Arbeid",RIGHT(F1188,3)&lt;&gt;"IKS"),IFERROR(VLOOKUP($G1188,Tb_KostenTypen[],2,0),"tarief"),RIGHT(F1188,3)="IKS","Uurtarief",LEFT(F1188,6)="Arbeid","Uurtarief",AND(LEFT(F1188,8)="Bijdrage",RIGHT(F1188,15)="(vrijwilligers)"),"Vast tarief"),"")</f>
        <v/>
      </c>
      <c r="O1188" s="90"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0"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1"/>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59"/>
      <c r="Z1188" s="49"/>
      <c r="AA1188" s="37" t="str" cm="1">
        <f t="array" ref="AA1188">IFERROR(IF(INDEX(SubsidieTabel!$Q$1:$T$9,MATCH($F1188,SubsidieTabel!$Q$1:$Q$9,0),IFERROR(MATCH(Methode_Keuze,SubsidieTabel!$Q$1:$T$1,0),2))&lt;&gt;1=TRUE,"ja",""),"")</f>
        <v/>
      </c>
    </row>
    <row r="1189" spans="1:27" ht="15" customHeight="1" x14ac:dyDescent="0.25">
      <c r="A1189" s="85"/>
      <c r="B1189" s="217" t="str">
        <f>IF(A1189&lt;&gt;"",_xlfn.MAXIFS($B$1:B1188,$A$1:A1188,A1189)+1,"")</f>
        <v/>
      </c>
      <c r="C1189" s="50"/>
      <c r="D1189" s="50"/>
      <c r="E1189" s="50"/>
      <c r="F1189" s="50"/>
      <c r="G1189" s="280"/>
      <c r="H1189" s="293"/>
      <c r="I1189" s="292"/>
      <c r="J1189" s="292"/>
      <c r="K1189" s="200"/>
      <c r="L1189" s="200"/>
      <c r="M1189" s="89" t="str">
        <f>IFERROR(VLOOKUP(H1189,Lijsten!$H$1:$I$100,2,0),"")</f>
        <v/>
      </c>
      <c r="N1189" s="89" t="str" cm="1">
        <f t="array" ref="N1189">IFERROR(_xlfn.IFS(AND(LEFT(F1189,6)="Arbeid",RIGHT(F1189,3)&lt;&gt;"IKS"),IFERROR(VLOOKUP($G1189,Tb_KostenTypen[],2,0),"tarief"),RIGHT(F1189,3)="IKS","Uurtarief",LEFT(F1189,6)="Arbeid","Uurtarief",AND(LEFT(F1189,8)="Bijdrage",RIGHT(F1189,15)="(vrijwilligers)"),"Vast tarief"),"")</f>
        <v/>
      </c>
      <c r="O1189" s="90"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0"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1"/>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59"/>
      <c r="Z1189" s="49"/>
      <c r="AA1189" s="37" t="str" cm="1">
        <f t="array" ref="AA1189">IFERROR(IF(INDEX(SubsidieTabel!$Q$1:$T$9,MATCH($F1189,SubsidieTabel!$Q$1:$Q$9,0),IFERROR(MATCH(Methode_Keuze,SubsidieTabel!$Q$1:$T$1,0),2))&lt;&gt;1=TRUE,"ja",""),"")</f>
        <v/>
      </c>
    </row>
    <row r="1190" spans="1:27" ht="15" customHeight="1" x14ac:dyDescent="0.25">
      <c r="A1190" s="85"/>
      <c r="B1190" s="217" t="str">
        <f>IF(A1190&lt;&gt;"",_xlfn.MAXIFS($B$1:B1189,$A$1:A1189,A1190)+1,"")</f>
        <v/>
      </c>
      <c r="C1190" s="50"/>
      <c r="D1190" s="50"/>
      <c r="E1190" s="50"/>
      <c r="F1190" s="50"/>
      <c r="G1190" s="280"/>
      <c r="H1190" s="293"/>
      <c r="I1190" s="292"/>
      <c r="J1190" s="292"/>
      <c r="K1190" s="200"/>
      <c r="L1190" s="200"/>
      <c r="M1190" s="89" t="str">
        <f>IFERROR(VLOOKUP(H1190,Lijsten!$H$1:$I$100,2,0),"")</f>
        <v/>
      </c>
      <c r="N1190" s="89" t="str" cm="1">
        <f t="array" ref="N1190">IFERROR(_xlfn.IFS(AND(LEFT(F1190,6)="Arbeid",RIGHT(F1190,3)&lt;&gt;"IKS"),IFERROR(VLOOKUP($G1190,Tb_KostenTypen[],2,0),"tarief"),RIGHT(F1190,3)="IKS","Uurtarief",LEFT(F1190,6)="Arbeid","Uurtarief",AND(LEFT(F1190,8)="Bijdrage",RIGHT(F1190,15)="(vrijwilligers)"),"Vast tarief"),"")</f>
        <v/>
      </c>
      <c r="O1190" s="90"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0"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1"/>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59"/>
      <c r="Z1190" s="49"/>
      <c r="AA1190" s="37" t="str" cm="1">
        <f t="array" ref="AA1190">IFERROR(IF(INDEX(SubsidieTabel!$Q$1:$T$9,MATCH($F1190,SubsidieTabel!$Q$1:$Q$9,0),IFERROR(MATCH(Methode_Keuze,SubsidieTabel!$Q$1:$T$1,0),2))&lt;&gt;1=TRUE,"ja",""),"")</f>
        <v/>
      </c>
    </row>
    <row r="1191" spans="1:27" ht="15" customHeight="1" x14ac:dyDescent="0.25">
      <c r="A1191" s="85"/>
      <c r="B1191" s="217" t="str">
        <f>IF(A1191&lt;&gt;"",_xlfn.MAXIFS($B$1:B1190,$A$1:A1190,A1191)+1,"")</f>
        <v/>
      </c>
      <c r="C1191" s="50"/>
      <c r="D1191" s="50"/>
      <c r="E1191" s="50"/>
      <c r="F1191" s="50"/>
      <c r="G1191" s="280"/>
      <c r="H1191" s="293"/>
      <c r="I1191" s="292"/>
      <c r="J1191" s="292"/>
      <c r="K1191" s="200"/>
      <c r="L1191" s="200"/>
      <c r="M1191" s="89" t="str">
        <f>IFERROR(VLOOKUP(H1191,Lijsten!$H$1:$I$100,2,0),"")</f>
        <v/>
      </c>
      <c r="N1191" s="89" t="str" cm="1">
        <f t="array" ref="N1191">IFERROR(_xlfn.IFS(AND(LEFT(F1191,6)="Arbeid",RIGHT(F1191,3)&lt;&gt;"IKS"),IFERROR(VLOOKUP($G1191,Tb_KostenTypen[],2,0),"tarief"),RIGHT(F1191,3)="IKS","Uurtarief",LEFT(F1191,6)="Arbeid","Uurtarief",AND(LEFT(F1191,8)="Bijdrage",RIGHT(F1191,15)="(vrijwilligers)"),"Vast tarief"),"")</f>
        <v/>
      </c>
      <c r="O1191" s="90"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0"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1"/>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59"/>
      <c r="Z1191" s="49"/>
      <c r="AA1191" s="37" t="str" cm="1">
        <f t="array" ref="AA1191">IFERROR(IF(INDEX(SubsidieTabel!$Q$1:$T$9,MATCH($F1191,SubsidieTabel!$Q$1:$Q$9,0),IFERROR(MATCH(Methode_Keuze,SubsidieTabel!$Q$1:$T$1,0),2))&lt;&gt;1=TRUE,"ja",""),"")</f>
        <v/>
      </c>
    </row>
    <row r="1192" spans="1:27" ht="15" customHeight="1" x14ac:dyDescent="0.25">
      <c r="A1192" s="85"/>
      <c r="B1192" s="217" t="str">
        <f>IF(A1192&lt;&gt;"",_xlfn.MAXIFS($B$1:B1191,$A$1:A1191,A1192)+1,"")</f>
        <v/>
      </c>
      <c r="C1192" s="50"/>
      <c r="D1192" s="50"/>
      <c r="E1192" s="50"/>
      <c r="F1192" s="50"/>
      <c r="G1192" s="280"/>
      <c r="H1192" s="293"/>
      <c r="I1192" s="292"/>
      <c r="J1192" s="292"/>
      <c r="K1192" s="200"/>
      <c r="L1192" s="200"/>
      <c r="M1192" s="89" t="str">
        <f>IFERROR(VLOOKUP(H1192,Lijsten!$H$1:$I$100,2,0),"")</f>
        <v/>
      </c>
      <c r="N1192" s="89" t="str" cm="1">
        <f t="array" ref="N1192">IFERROR(_xlfn.IFS(AND(LEFT(F1192,6)="Arbeid",RIGHT(F1192,3)&lt;&gt;"IKS"),IFERROR(VLOOKUP($G1192,Tb_KostenTypen[],2,0),"tarief"),RIGHT(F1192,3)="IKS","Uurtarief",LEFT(F1192,6)="Arbeid","Uurtarief",AND(LEFT(F1192,8)="Bijdrage",RIGHT(F1192,15)="(vrijwilligers)"),"Vast tarief"),"")</f>
        <v/>
      </c>
      <c r="O1192" s="90"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0"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1"/>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59"/>
      <c r="Z1192" s="49"/>
      <c r="AA1192" s="37" t="str" cm="1">
        <f t="array" ref="AA1192">IFERROR(IF(INDEX(SubsidieTabel!$Q$1:$T$9,MATCH($F1192,SubsidieTabel!$Q$1:$Q$9,0),IFERROR(MATCH(Methode_Keuze,SubsidieTabel!$Q$1:$T$1,0),2))&lt;&gt;1=TRUE,"ja",""),"")</f>
        <v/>
      </c>
    </row>
    <row r="1193" spans="1:27" ht="15" customHeight="1" x14ac:dyDescent="0.25">
      <c r="A1193" s="85"/>
      <c r="B1193" s="217" t="str">
        <f>IF(A1193&lt;&gt;"",_xlfn.MAXIFS($B$1:B1192,$A$1:A1192,A1193)+1,"")</f>
        <v/>
      </c>
      <c r="C1193" s="50"/>
      <c r="D1193" s="50"/>
      <c r="E1193" s="50"/>
      <c r="F1193" s="50"/>
      <c r="G1193" s="280"/>
      <c r="H1193" s="293"/>
      <c r="I1193" s="292"/>
      <c r="J1193" s="292"/>
      <c r="K1193" s="200"/>
      <c r="L1193" s="200"/>
      <c r="M1193" s="89" t="str">
        <f>IFERROR(VLOOKUP(H1193,Lijsten!$H$1:$I$100,2,0),"")</f>
        <v/>
      </c>
      <c r="N1193" s="89" t="str" cm="1">
        <f t="array" ref="N1193">IFERROR(_xlfn.IFS(AND(LEFT(F1193,6)="Arbeid",RIGHT(F1193,3)&lt;&gt;"IKS"),IFERROR(VLOOKUP($G1193,Tb_KostenTypen[],2,0),"tarief"),RIGHT(F1193,3)="IKS","Uurtarief",LEFT(F1193,6)="Arbeid","Uurtarief",AND(LEFT(F1193,8)="Bijdrage",RIGHT(F1193,15)="(vrijwilligers)"),"Vast tarief"),"")</f>
        <v/>
      </c>
      <c r="O1193" s="90"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0"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1"/>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59"/>
      <c r="Z1193" s="49"/>
      <c r="AA1193" s="37" t="str" cm="1">
        <f t="array" ref="AA1193">IFERROR(IF(INDEX(SubsidieTabel!$Q$1:$T$9,MATCH($F1193,SubsidieTabel!$Q$1:$Q$9,0),IFERROR(MATCH(Methode_Keuze,SubsidieTabel!$Q$1:$T$1,0),2))&lt;&gt;1=TRUE,"ja",""),"")</f>
        <v/>
      </c>
    </row>
    <row r="1194" spans="1:27" ht="15" customHeight="1" x14ac:dyDescent="0.25">
      <c r="A1194" s="85"/>
      <c r="B1194" s="217" t="str">
        <f>IF(A1194&lt;&gt;"",_xlfn.MAXIFS($B$1:B1193,$A$1:A1193,A1194)+1,"")</f>
        <v/>
      </c>
      <c r="C1194" s="50"/>
      <c r="D1194" s="50"/>
      <c r="E1194" s="50"/>
      <c r="F1194" s="50"/>
      <c r="G1194" s="280"/>
      <c r="H1194" s="293"/>
      <c r="I1194" s="292"/>
      <c r="J1194" s="292"/>
      <c r="K1194" s="200"/>
      <c r="L1194" s="200"/>
      <c r="M1194" s="89" t="str">
        <f>IFERROR(VLOOKUP(H1194,Lijsten!$H$1:$I$100,2,0),"")</f>
        <v/>
      </c>
      <c r="N1194" s="89" t="str" cm="1">
        <f t="array" ref="N1194">IFERROR(_xlfn.IFS(AND(LEFT(F1194,6)="Arbeid",RIGHT(F1194,3)&lt;&gt;"IKS"),IFERROR(VLOOKUP($G1194,Tb_KostenTypen[],2,0),"tarief"),RIGHT(F1194,3)="IKS","Uurtarief",LEFT(F1194,6)="Arbeid","Uurtarief",AND(LEFT(F1194,8)="Bijdrage",RIGHT(F1194,15)="(vrijwilligers)"),"Vast tarief"),"")</f>
        <v/>
      </c>
      <c r="O1194" s="90"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0"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1"/>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59"/>
      <c r="Z1194" s="49"/>
      <c r="AA1194" s="37" t="str" cm="1">
        <f t="array" ref="AA1194">IFERROR(IF(INDEX(SubsidieTabel!$Q$1:$T$9,MATCH($F1194,SubsidieTabel!$Q$1:$Q$9,0),IFERROR(MATCH(Methode_Keuze,SubsidieTabel!$Q$1:$T$1,0),2))&lt;&gt;1=TRUE,"ja",""),"")</f>
        <v/>
      </c>
    </row>
    <row r="1195" spans="1:27" ht="15" customHeight="1" x14ac:dyDescent="0.25">
      <c r="A1195" s="85"/>
      <c r="B1195" s="217" t="str">
        <f>IF(A1195&lt;&gt;"",_xlfn.MAXIFS($B$1:B1194,$A$1:A1194,A1195)+1,"")</f>
        <v/>
      </c>
      <c r="C1195" s="50"/>
      <c r="D1195" s="50"/>
      <c r="E1195" s="50"/>
      <c r="F1195" s="50"/>
      <c r="G1195" s="280"/>
      <c r="H1195" s="293"/>
      <c r="I1195" s="292"/>
      <c r="J1195" s="292"/>
      <c r="K1195" s="200"/>
      <c r="L1195" s="200"/>
      <c r="M1195" s="89" t="str">
        <f>IFERROR(VLOOKUP(H1195,Lijsten!$H$1:$I$100,2,0),"")</f>
        <v/>
      </c>
      <c r="N1195" s="89" t="str" cm="1">
        <f t="array" ref="N1195">IFERROR(_xlfn.IFS(AND(LEFT(F1195,6)="Arbeid",RIGHT(F1195,3)&lt;&gt;"IKS"),IFERROR(VLOOKUP($G1195,Tb_KostenTypen[],2,0),"tarief"),RIGHT(F1195,3)="IKS","Uurtarief",LEFT(F1195,6)="Arbeid","Uurtarief",AND(LEFT(F1195,8)="Bijdrage",RIGHT(F1195,15)="(vrijwilligers)"),"Vast tarief"),"")</f>
        <v/>
      </c>
      <c r="O1195" s="90"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0"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1"/>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59"/>
      <c r="Z1195" s="49"/>
      <c r="AA1195" s="37" t="str" cm="1">
        <f t="array" ref="AA1195">IFERROR(IF(INDEX(SubsidieTabel!$Q$1:$T$9,MATCH($F1195,SubsidieTabel!$Q$1:$Q$9,0),IFERROR(MATCH(Methode_Keuze,SubsidieTabel!$Q$1:$T$1,0),2))&lt;&gt;1=TRUE,"ja",""),"")</f>
        <v/>
      </c>
    </row>
    <row r="1196" spans="1:27" ht="15" customHeight="1" x14ac:dyDescent="0.25">
      <c r="A1196" s="85"/>
      <c r="B1196" s="217" t="str">
        <f>IF(A1196&lt;&gt;"",_xlfn.MAXIFS($B$1:B1195,$A$1:A1195,A1196)+1,"")</f>
        <v/>
      </c>
      <c r="C1196" s="50"/>
      <c r="D1196" s="50"/>
      <c r="E1196" s="50"/>
      <c r="F1196" s="50"/>
      <c r="G1196" s="280"/>
      <c r="H1196" s="293"/>
      <c r="I1196" s="292"/>
      <c r="J1196" s="292"/>
      <c r="K1196" s="200"/>
      <c r="L1196" s="200"/>
      <c r="M1196" s="89" t="str">
        <f>IFERROR(VLOOKUP(H1196,Lijsten!$H$1:$I$100,2,0),"")</f>
        <v/>
      </c>
      <c r="N1196" s="89" t="str" cm="1">
        <f t="array" ref="N1196">IFERROR(_xlfn.IFS(AND(LEFT(F1196,6)="Arbeid",RIGHT(F1196,3)&lt;&gt;"IKS"),IFERROR(VLOOKUP($G1196,Tb_KostenTypen[],2,0),"tarief"),RIGHT(F1196,3)="IKS","Uurtarief",LEFT(F1196,6)="Arbeid","Uurtarief",AND(LEFT(F1196,8)="Bijdrage",RIGHT(F1196,15)="(vrijwilligers)"),"Vast tarief"),"")</f>
        <v/>
      </c>
      <c r="O1196" s="90"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0"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1"/>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59"/>
      <c r="Z1196" s="49"/>
      <c r="AA1196" s="37" t="str" cm="1">
        <f t="array" ref="AA1196">IFERROR(IF(INDEX(SubsidieTabel!$Q$1:$T$9,MATCH($F1196,SubsidieTabel!$Q$1:$Q$9,0),IFERROR(MATCH(Methode_Keuze,SubsidieTabel!$Q$1:$T$1,0),2))&lt;&gt;1=TRUE,"ja",""),"")</f>
        <v/>
      </c>
    </row>
    <row r="1197" spans="1:27" ht="15" customHeight="1" x14ac:dyDescent="0.25">
      <c r="A1197" s="85"/>
      <c r="B1197" s="217" t="str">
        <f>IF(A1197&lt;&gt;"",_xlfn.MAXIFS($B$1:B1196,$A$1:A1196,A1197)+1,"")</f>
        <v/>
      </c>
      <c r="C1197" s="50"/>
      <c r="D1197" s="50"/>
      <c r="E1197" s="50"/>
      <c r="F1197" s="50"/>
      <c r="G1197" s="280"/>
      <c r="H1197" s="293"/>
      <c r="I1197" s="292"/>
      <c r="J1197" s="292"/>
      <c r="K1197" s="200"/>
      <c r="L1197" s="200"/>
      <c r="M1197" s="89" t="str">
        <f>IFERROR(VLOOKUP(H1197,Lijsten!$H$1:$I$100,2,0),"")</f>
        <v/>
      </c>
      <c r="N1197" s="89" t="str" cm="1">
        <f t="array" ref="N1197">IFERROR(_xlfn.IFS(AND(LEFT(F1197,6)="Arbeid",RIGHT(F1197,3)&lt;&gt;"IKS"),IFERROR(VLOOKUP($G1197,Tb_KostenTypen[],2,0),"tarief"),RIGHT(F1197,3)="IKS","Uurtarief",LEFT(F1197,6)="Arbeid","Uurtarief",AND(LEFT(F1197,8)="Bijdrage",RIGHT(F1197,15)="(vrijwilligers)"),"Vast tarief"),"")</f>
        <v/>
      </c>
      <c r="O1197" s="90"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0"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1"/>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59"/>
      <c r="Z1197" s="49"/>
      <c r="AA1197" s="37" t="str" cm="1">
        <f t="array" ref="AA1197">IFERROR(IF(INDEX(SubsidieTabel!$Q$1:$T$9,MATCH($F1197,SubsidieTabel!$Q$1:$Q$9,0),IFERROR(MATCH(Methode_Keuze,SubsidieTabel!$Q$1:$T$1,0),2))&lt;&gt;1=TRUE,"ja",""),"")</f>
        <v/>
      </c>
    </row>
    <row r="1198" spans="1:27" ht="15" customHeight="1" x14ac:dyDescent="0.25">
      <c r="A1198" s="85"/>
      <c r="B1198" s="217" t="str">
        <f>IF(A1198&lt;&gt;"",_xlfn.MAXIFS($B$1:B1197,$A$1:A1197,A1198)+1,"")</f>
        <v/>
      </c>
      <c r="C1198" s="50"/>
      <c r="D1198" s="50"/>
      <c r="E1198" s="50"/>
      <c r="F1198" s="50"/>
      <c r="G1198" s="280"/>
      <c r="H1198" s="293"/>
      <c r="I1198" s="292"/>
      <c r="J1198" s="292"/>
      <c r="K1198" s="200"/>
      <c r="L1198" s="200"/>
      <c r="M1198" s="89" t="str">
        <f>IFERROR(VLOOKUP(H1198,Lijsten!$H$1:$I$100,2,0),"")</f>
        <v/>
      </c>
      <c r="N1198" s="89" t="str" cm="1">
        <f t="array" ref="N1198">IFERROR(_xlfn.IFS(AND(LEFT(F1198,6)="Arbeid",RIGHT(F1198,3)&lt;&gt;"IKS"),IFERROR(VLOOKUP($G1198,Tb_KostenTypen[],2,0),"tarief"),RIGHT(F1198,3)="IKS","Uurtarief",LEFT(F1198,6)="Arbeid","Uurtarief",AND(LEFT(F1198,8)="Bijdrage",RIGHT(F1198,15)="(vrijwilligers)"),"Vast tarief"),"")</f>
        <v/>
      </c>
      <c r="O1198" s="90"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0"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1"/>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59"/>
      <c r="Z1198" s="49"/>
      <c r="AA1198" s="37" t="str" cm="1">
        <f t="array" ref="AA1198">IFERROR(IF(INDEX(SubsidieTabel!$Q$1:$T$9,MATCH($F1198,SubsidieTabel!$Q$1:$Q$9,0),IFERROR(MATCH(Methode_Keuze,SubsidieTabel!$Q$1:$T$1,0),2))&lt;&gt;1=TRUE,"ja",""),"")</f>
        <v/>
      </c>
    </row>
    <row r="1199" spans="1:27" ht="15" customHeight="1" x14ac:dyDescent="0.25">
      <c r="A1199" s="85"/>
      <c r="B1199" s="217" t="str">
        <f>IF(A1199&lt;&gt;"",_xlfn.MAXIFS($B$1:B1198,$A$1:A1198,A1199)+1,"")</f>
        <v/>
      </c>
      <c r="C1199" s="50"/>
      <c r="D1199" s="50"/>
      <c r="E1199" s="50"/>
      <c r="F1199" s="50"/>
      <c r="G1199" s="280"/>
      <c r="H1199" s="293"/>
      <c r="I1199" s="292"/>
      <c r="J1199" s="292"/>
      <c r="K1199" s="200"/>
      <c r="L1199" s="200"/>
      <c r="M1199" s="89" t="str">
        <f>IFERROR(VLOOKUP(H1199,Lijsten!$H$1:$I$100,2,0),"")</f>
        <v/>
      </c>
      <c r="N1199" s="89" t="str" cm="1">
        <f t="array" ref="N1199">IFERROR(_xlfn.IFS(AND(LEFT(F1199,6)="Arbeid",RIGHT(F1199,3)&lt;&gt;"IKS"),IFERROR(VLOOKUP($G1199,Tb_KostenTypen[],2,0),"tarief"),RIGHT(F1199,3)="IKS","Uurtarief",LEFT(F1199,6)="Arbeid","Uurtarief",AND(LEFT(F1199,8)="Bijdrage",RIGHT(F1199,15)="(vrijwilligers)"),"Vast tarief"),"")</f>
        <v/>
      </c>
      <c r="O1199" s="90"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0"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1"/>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59"/>
      <c r="Z1199" s="49"/>
      <c r="AA1199" s="37" t="str" cm="1">
        <f t="array" ref="AA1199">IFERROR(IF(INDEX(SubsidieTabel!$Q$1:$T$9,MATCH($F1199,SubsidieTabel!$Q$1:$Q$9,0),IFERROR(MATCH(Methode_Keuze,SubsidieTabel!$Q$1:$T$1,0),2))&lt;&gt;1=TRUE,"ja",""),"")</f>
        <v/>
      </c>
    </row>
    <row r="1200" spans="1:27" ht="15" customHeight="1" x14ac:dyDescent="0.25">
      <c r="A1200" s="85"/>
      <c r="B1200" s="217" t="str">
        <f>IF(A1200&lt;&gt;"",_xlfn.MAXIFS($B$1:B1199,$A$1:A1199,A1200)+1,"")</f>
        <v/>
      </c>
      <c r="C1200" s="50"/>
      <c r="D1200" s="50"/>
      <c r="E1200" s="50"/>
      <c r="F1200" s="50"/>
      <c r="G1200" s="280"/>
      <c r="H1200" s="293"/>
      <c r="I1200" s="292"/>
      <c r="J1200" s="292"/>
      <c r="K1200" s="200"/>
      <c r="L1200" s="200"/>
      <c r="M1200" s="89" t="str">
        <f>IFERROR(VLOOKUP(H1200,Lijsten!$H$1:$I$100,2,0),"")</f>
        <v/>
      </c>
      <c r="N1200" s="89" t="str" cm="1">
        <f t="array" ref="N1200">IFERROR(_xlfn.IFS(AND(LEFT(F1200,6)="Arbeid",RIGHT(F1200,3)&lt;&gt;"IKS"),IFERROR(VLOOKUP($G1200,Tb_KostenTypen[],2,0),"tarief"),RIGHT(F1200,3)="IKS","Uurtarief",LEFT(F1200,6)="Arbeid","Uurtarief",AND(LEFT(F1200,8)="Bijdrage",RIGHT(F1200,15)="(vrijwilligers)"),"Vast tarief"),"")</f>
        <v/>
      </c>
      <c r="O1200" s="90"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0"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1"/>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59"/>
      <c r="Z1200" s="49"/>
      <c r="AA1200" s="37" t="str" cm="1">
        <f t="array" ref="AA1200">IFERROR(IF(INDEX(SubsidieTabel!$Q$1:$T$9,MATCH($F1200,SubsidieTabel!$Q$1:$Q$9,0),IFERROR(MATCH(Methode_Keuze,SubsidieTabel!$Q$1:$T$1,0),2))&lt;&gt;1=TRUE,"ja",""),"")</f>
        <v/>
      </c>
    </row>
    <row r="1201" spans="1:27" ht="15" customHeight="1" x14ac:dyDescent="0.25">
      <c r="A1201" s="85"/>
      <c r="B1201" s="217" t="str">
        <f>IF(A1201&lt;&gt;"",_xlfn.MAXIFS($B$1:B1200,$A$1:A1200,A1201)+1,"")</f>
        <v/>
      </c>
      <c r="C1201" s="50"/>
      <c r="D1201" s="50"/>
      <c r="E1201" s="50"/>
      <c r="F1201" s="50"/>
      <c r="G1201" s="280"/>
      <c r="H1201" s="293"/>
      <c r="I1201" s="292"/>
      <c r="J1201" s="292"/>
      <c r="K1201" s="200"/>
      <c r="L1201" s="200"/>
      <c r="M1201" s="89" t="str">
        <f>IFERROR(VLOOKUP(H1201,Lijsten!$H$1:$I$100,2,0),"")</f>
        <v/>
      </c>
      <c r="N1201" s="89" t="str" cm="1">
        <f t="array" ref="N1201">IFERROR(_xlfn.IFS(AND(LEFT(F1201,6)="Arbeid",RIGHT(F1201,3)&lt;&gt;"IKS"),IFERROR(VLOOKUP($G1201,Tb_KostenTypen[],2,0),"tarief"),RIGHT(F1201,3)="IKS","Uurtarief",LEFT(F1201,6)="Arbeid","Uurtarief",AND(LEFT(F1201,8)="Bijdrage",RIGHT(F1201,15)="(vrijwilligers)"),"Vast tarief"),"")</f>
        <v/>
      </c>
      <c r="O1201" s="90"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0"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1"/>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59"/>
      <c r="Z1201" s="49"/>
      <c r="AA1201" s="37" t="str" cm="1">
        <f t="array" ref="AA1201">IFERROR(IF(INDEX(SubsidieTabel!$Q$1:$T$9,MATCH($F1201,SubsidieTabel!$Q$1:$Q$9,0),IFERROR(MATCH(Methode_Keuze,SubsidieTabel!$Q$1:$T$1,0),2))&lt;&gt;1=TRUE,"ja",""),"")</f>
        <v/>
      </c>
    </row>
    <row r="1202" spans="1:27" ht="15" customHeight="1" x14ac:dyDescent="0.25">
      <c r="A1202" s="85"/>
      <c r="B1202" s="217" t="str">
        <f>IF(A1202&lt;&gt;"",_xlfn.MAXIFS($B$1:B1201,$A$1:A1201,A1202)+1,"")</f>
        <v/>
      </c>
      <c r="C1202" s="50"/>
      <c r="D1202" s="50"/>
      <c r="E1202" s="50"/>
      <c r="F1202" s="50"/>
      <c r="G1202" s="280"/>
      <c r="H1202" s="293"/>
      <c r="I1202" s="292"/>
      <c r="J1202" s="292"/>
      <c r="K1202" s="200"/>
      <c r="L1202" s="200"/>
      <c r="M1202" s="89" t="str">
        <f>IFERROR(VLOOKUP(H1202,Lijsten!$H$1:$I$100,2,0),"")</f>
        <v/>
      </c>
      <c r="N1202" s="89" t="str" cm="1">
        <f t="array" ref="N1202">IFERROR(_xlfn.IFS(AND(LEFT(F1202,6)="Arbeid",RIGHT(F1202,3)&lt;&gt;"IKS"),IFERROR(VLOOKUP($G1202,Tb_KostenTypen[],2,0),"tarief"),RIGHT(F1202,3)="IKS","Uurtarief",LEFT(F1202,6)="Arbeid","Uurtarief",AND(LEFT(F1202,8)="Bijdrage",RIGHT(F1202,15)="(vrijwilligers)"),"Vast tarief"),"")</f>
        <v/>
      </c>
      <c r="O1202" s="90"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0"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1"/>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59"/>
      <c r="Z1202" s="49"/>
      <c r="AA1202" s="37" t="str" cm="1">
        <f t="array" ref="AA1202">IFERROR(IF(INDEX(SubsidieTabel!$Q$1:$T$9,MATCH($F1202,SubsidieTabel!$Q$1:$Q$9,0),IFERROR(MATCH(Methode_Keuze,SubsidieTabel!$Q$1:$T$1,0),2))&lt;&gt;1=TRUE,"ja",""),"")</f>
        <v/>
      </c>
    </row>
    <row r="1203" spans="1:27" ht="15" customHeight="1" x14ac:dyDescent="0.25">
      <c r="A1203" s="85"/>
      <c r="B1203" s="217" t="str">
        <f>IF(A1203&lt;&gt;"",_xlfn.MAXIFS($B$1:B1202,$A$1:A1202,A1203)+1,"")</f>
        <v/>
      </c>
      <c r="C1203" s="50"/>
      <c r="D1203" s="50"/>
      <c r="E1203" s="50"/>
      <c r="F1203" s="50"/>
      <c r="G1203" s="280"/>
      <c r="H1203" s="293"/>
      <c r="I1203" s="292"/>
      <c r="J1203" s="292"/>
      <c r="K1203" s="200"/>
      <c r="L1203" s="200"/>
      <c r="M1203" s="89" t="str">
        <f>IFERROR(VLOOKUP(H1203,Lijsten!$H$1:$I$100,2,0),"")</f>
        <v/>
      </c>
      <c r="N1203" s="89" t="str" cm="1">
        <f t="array" ref="N1203">IFERROR(_xlfn.IFS(AND(LEFT(F1203,6)="Arbeid",RIGHT(F1203,3)&lt;&gt;"IKS"),IFERROR(VLOOKUP($G1203,Tb_KostenTypen[],2,0),"tarief"),RIGHT(F1203,3)="IKS","Uurtarief",LEFT(F1203,6)="Arbeid","Uurtarief",AND(LEFT(F1203,8)="Bijdrage",RIGHT(F1203,15)="(vrijwilligers)"),"Vast tarief"),"")</f>
        <v/>
      </c>
      <c r="O1203" s="90"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0"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1"/>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59"/>
      <c r="Z1203" s="49"/>
      <c r="AA1203" s="37" t="str" cm="1">
        <f t="array" ref="AA1203">IFERROR(IF(INDEX(SubsidieTabel!$Q$1:$T$9,MATCH($F1203,SubsidieTabel!$Q$1:$Q$9,0),IFERROR(MATCH(Methode_Keuze,SubsidieTabel!$Q$1:$T$1,0),2))&lt;&gt;1=TRUE,"ja",""),"")</f>
        <v/>
      </c>
    </row>
    <row r="1204" spans="1:27" ht="15" customHeight="1" x14ac:dyDescent="0.25">
      <c r="A1204" s="85"/>
      <c r="B1204" s="217" t="str">
        <f>IF(A1204&lt;&gt;"",_xlfn.MAXIFS($B$1:B1203,$A$1:A1203,A1204)+1,"")</f>
        <v/>
      </c>
      <c r="C1204" s="50"/>
      <c r="D1204" s="50"/>
      <c r="E1204" s="50"/>
      <c r="F1204" s="50"/>
      <c r="G1204" s="280"/>
      <c r="H1204" s="293"/>
      <c r="I1204" s="292"/>
      <c r="J1204" s="292"/>
      <c r="K1204" s="200"/>
      <c r="L1204" s="200"/>
      <c r="M1204" s="89" t="str">
        <f>IFERROR(VLOOKUP(H1204,Lijsten!$H$1:$I$100,2,0),"")</f>
        <v/>
      </c>
      <c r="N1204" s="89" t="str" cm="1">
        <f t="array" ref="N1204">IFERROR(_xlfn.IFS(AND(LEFT(F1204,6)="Arbeid",RIGHT(F1204,3)&lt;&gt;"IKS"),IFERROR(VLOOKUP($G1204,Tb_KostenTypen[],2,0),"tarief"),RIGHT(F1204,3)="IKS","Uurtarief",LEFT(F1204,6)="Arbeid","Uurtarief",AND(LEFT(F1204,8)="Bijdrage",RIGHT(F1204,15)="(vrijwilligers)"),"Vast tarief"),"")</f>
        <v/>
      </c>
      <c r="O1204" s="90"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0"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1"/>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59"/>
      <c r="Z1204" s="49"/>
      <c r="AA1204" s="37" t="str" cm="1">
        <f t="array" ref="AA1204">IFERROR(IF(INDEX(SubsidieTabel!$Q$1:$T$9,MATCH($F1204,SubsidieTabel!$Q$1:$Q$9,0),IFERROR(MATCH(Methode_Keuze,SubsidieTabel!$Q$1:$T$1,0),2))&lt;&gt;1=TRUE,"ja",""),"")</f>
        <v/>
      </c>
    </row>
    <row r="1205" spans="1:27" ht="15" customHeight="1" x14ac:dyDescent="0.25">
      <c r="A1205" s="85"/>
      <c r="B1205" s="217" t="str">
        <f>IF(A1205&lt;&gt;"",_xlfn.MAXIFS($B$1:B1204,$A$1:A1204,A1205)+1,"")</f>
        <v/>
      </c>
      <c r="C1205" s="50"/>
      <c r="D1205" s="50"/>
      <c r="E1205" s="50"/>
      <c r="F1205" s="50"/>
      <c r="G1205" s="280"/>
      <c r="H1205" s="293"/>
      <c r="I1205" s="292"/>
      <c r="J1205" s="292"/>
      <c r="K1205" s="200"/>
      <c r="L1205" s="200"/>
      <c r="M1205" s="89" t="str">
        <f>IFERROR(VLOOKUP(H1205,Lijsten!$H$1:$I$100,2,0),"")</f>
        <v/>
      </c>
      <c r="N1205" s="89" t="str" cm="1">
        <f t="array" ref="N1205">IFERROR(_xlfn.IFS(AND(LEFT(F1205,6)="Arbeid",RIGHT(F1205,3)&lt;&gt;"IKS"),IFERROR(VLOOKUP($G1205,Tb_KostenTypen[],2,0),"tarief"),RIGHT(F1205,3)="IKS","Uurtarief",LEFT(F1205,6)="Arbeid","Uurtarief",AND(LEFT(F1205,8)="Bijdrage",RIGHT(F1205,15)="(vrijwilligers)"),"Vast tarief"),"")</f>
        <v/>
      </c>
      <c r="O1205" s="90"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0"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1"/>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59"/>
      <c r="Z1205" s="49"/>
      <c r="AA1205" s="37" t="str" cm="1">
        <f t="array" ref="AA1205">IFERROR(IF(INDEX(SubsidieTabel!$Q$1:$T$9,MATCH($F1205,SubsidieTabel!$Q$1:$Q$9,0),IFERROR(MATCH(Methode_Keuze,SubsidieTabel!$Q$1:$T$1,0),2))&lt;&gt;1=TRUE,"ja",""),"")</f>
        <v/>
      </c>
    </row>
    <row r="1206" spans="1:27" ht="15" customHeight="1" x14ac:dyDescent="0.25">
      <c r="A1206" s="85"/>
      <c r="B1206" s="217" t="str">
        <f>IF(A1206&lt;&gt;"",_xlfn.MAXIFS($B$1:B1205,$A$1:A1205,A1206)+1,"")</f>
        <v/>
      </c>
      <c r="C1206" s="50"/>
      <c r="D1206" s="50"/>
      <c r="E1206" s="50"/>
      <c r="F1206" s="50"/>
      <c r="G1206" s="280"/>
      <c r="H1206" s="293"/>
      <c r="I1206" s="292"/>
      <c r="J1206" s="292"/>
      <c r="K1206" s="200"/>
      <c r="L1206" s="200"/>
      <c r="M1206" s="89" t="str">
        <f>IFERROR(VLOOKUP(H1206,Lijsten!$H$1:$I$100,2,0),"")</f>
        <v/>
      </c>
      <c r="N1206" s="89" t="str" cm="1">
        <f t="array" ref="N1206">IFERROR(_xlfn.IFS(AND(LEFT(F1206,6)="Arbeid",RIGHT(F1206,3)&lt;&gt;"IKS"),IFERROR(VLOOKUP($G1206,Tb_KostenTypen[],2,0),"tarief"),RIGHT(F1206,3)="IKS","Uurtarief",LEFT(F1206,6)="Arbeid","Uurtarief",AND(LEFT(F1206,8)="Bijdrage",RIGHT(F1206,15)="(vrijwilligers)"),"Vast tarief"),"")</f>
        <v/>
      </c>
      <c r="O1206" s="90"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0"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1"/>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59"/>
      <c r="Z1206" s="49"/>
      <c r="AA1206" s="37" t="str" cm="1">
        <f t="array" ref="AA1206">IFERROR(IF(INDEX(SubsidieTabel!$Q$1:$T$9,MATCH($F1206,SubsidieTabel!$Q$1:$Q$9,0),IFERROR(MATCH(Methode_Keuze,SubsidieTabel!$Q$1:$T$1,0),2))&lt;&gt;1=TRUE,"ja",""),"")</f>
        <v/>
      </c>
    </row>
    <row r="1207" spans="1:27" ht="15" customHeight="1" x14ac:dyDescent="0.25">
      <c r="A1207" s="85"/>
      <c r="B1207" s="217" t="str">
        <f>IF(A1207&lt;&gt;"",_xlfn.MAXIFS($B$1:B1206,$A$1:A1206,A1207)+1,"")</f>
        <v/>
      </c>
      <c r="C1207" s="50"/>
      <c r="D1207" s="50"/>
      <c r="E1207" s="50"/>
      <c r="F1207" s="50"/>
      <c r="G1207" s="280"/>
      <c r="H1207" s="293"/>
      <c r="I1207" s="292"/>
      <c r="J1207" s="292"/>
      <c r="K1207" s="200"/>
      <c r="L1207" s="200"/>
      <c r="M1207" s="89" t="str">
        <f>IFERROR(VLOOKUP(H1207,Lijsten!$H$1:$I$100,2,0),"")</f>
        <v/>
      </c>
      <c r="N1207" s="89" t="str" cm="1">
        <f t="array" ref="N1207">IFERROR(_xlfn.IFS(AND(LEFT(F1207,6)="Arbeid",RIGHT(F1207,3)&lt;&gt;"IKS"),IFERROR(VLOOKUP($G1207,Tb_KostenTypen[],2,0),"tarief"),RIGHT(F1207,3)="IKS","Uurtarief",LEFT(F1207,6)="Arbeid","Uurtarief",AND(LEFT(F1207,8)="Bijdrage",RIGHT(F1207,15)="(vrijwilligers)"),"Vast tarief"),"")</f>
        <v/>
      </c>
      <c r="O1207" s="90"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0"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1"/>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59"/>
      <c r="Z1207" s="49"/>
      <c r="AA1207" s="37" t="str" cm="1">
        <f t="array" ref="AA1207">IFERROR(IF(INDEX(SubsidieTabel!$Q$1:$T$9,MATCH($F1207,SubsidieTabel!$Q$1:$Q$9,0),IFERROR(MATCH(Methode_Keuze,SubsidieTabel!$Q$1:$T$1,0),2))&lt;&gt;1=TRUE,"ja",""),"")</f>
        <v/>
      </c>
    </row>
    <row r="1208" spans="1:27" ht="15" customHeight="1" x14ac:dyDescent="0.25">
      <c r="A1208" s="85"/>
      <c r="B1208" s="217" t="str">
        <f>IF(A1208&lt;&gt;"",_xlfn.MAXIFS($B$1:B1207,$A$1:A1207,A1208)+1,"")</f>
        <v/>
      </c>
      <c r="C1208" s="50"/>
      <c r="D1208" s="50"/>
      <c r="E1208" s="50"/>
      <c r="F1208" s="50"/>
      <c r="G1208" s="280"/>
      <c r="H1208" s="293"/>
      <c r="I1208" s="292"/>
      <c r="J1208" s="292"/>
      <c r="K1208" s="200"/>
      <c r="L1208" s="200"/>
      <c r="M1208" s="89" t="str">
        <f>IFERROR(VLOOKUP(H1208,Lijsten!$H$1:$I$100,2,0),"")</f>
        <v/>
      </c>
      <c r="N1208" s="89" t="str" cm="1">
        <f t="array" ref="N1208">IFERROR(_xlfn.IFS(AND(LEFT(F1208,6)="Arbeid",RIGHT(F1208,3)&lt;&gt;"IKS"),IFERROR(VLOOKUP($G1208,Tb_KostenTypen[],2,0),"tarief"),RIGHT(F1208,3)="IKS","Uurtarief",LEFT(F1208,6)="Arbeid","Uurtarief",AND(LEFT(F1208,8)="Bijdrage",RIGHT(F1208,15)="(vrijwilligers)"),"Vast tarief"),"")</f>
        <v/>
      </c>
      <c r="O1208" s="90"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0"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1"/>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59"/>
      <c r="Z1208" s="49"/>
      <c r="AA1208" s="37" t="str" cm="1">
        <f t="array" ref="AA1208">IFERROR(IF(INDEX(SubsidieTabel!$Q$1:$T$9,MATCH($F1208,SubsidieTabel!$Q$1:$Q$9,0),IFERROR(MATCH(Methode_Keuze,SubsidieTabel!$Q$1:$T$1,0),2))&lt;&gt;1=TRUE,"ja",""),"")</f>
        <v/>
      </c>
    </row>
    <row r="1209" spans="1:27" ht="15" customHeight="1" x14ac:dyDescent="0.25">
      <c r="A1209" s="85"/>
      <c r="B1209" s="217" t="str">
        <f>IF(A1209&lt;&gt;"",_xlfn.MAXIFS($B$1:B1208,$A$1:A1208,A1209)+1,"")</f>
        <v/>
      </c>
      <c r="C1209" s="50"/>
      <c r="D1209" s="50"/>
      <c r="E1209" s="50"/>
      <c r="F1209" s="50"/>
      <c r="G1209" s="280"/>
      <c r="H1209" s="293"/>
      <c r="I1209" s="292"/>
      <c r="J1209" s="292"/>
      <c r="K1209" s="200"/>
      <c r="L1209" s="200"/>
      <c r="M1209" s="89" t="str">
        <f>IFERROR(VLOOKUP(H1209,Lijsten!$H$1:$I$100,2,0),"")</f>
        <v/>
      </c>
      <c r="N1209" s="89" t="str" cm="1">
        <f t="array" ref="N1209">IFERROR(_xlfn.IFS(AND(LEFT(F1209,6)="Arbeid",RIGHT(F1209,3)&lt;&gt;"IKS"),IFERROR(VLOOKUP($G1209,Tb_KostenTypen[],2,0),"tarief"),RIGHT(F1209,3)="IKS","Uurtarief",LEFT(F1209,6)="Arbeid","Uurtarief",AND(LEFT(F1209,8)="Bijdrage",RIGHT(F1209,15)="(vrijwilligers)"),"Vast tarief"),"")</f>
        <v/>
      </c>
      <c r="O1209" s="90"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0"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1"/>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59"/>
      <c r="Z1209" s="49"/>
      <c r="AA1209" s="37" t="str" cm="1">
        <f t="array" ref="AA1209">IFERROR(IF(INDEX(SubsidieTabel!$Q$1:$T$9,MATCH($F1209,SubsidieTabel!$Q$1:$Q$9,0),IFERROR(MATCH(Methode_Keuze,SubsidieTabel!$Q$1:$T$1,0),2))&lt;&gt;1=TRUE,"ja",""),"")</f>
        <v/>
      </c>
    </row>
    <row r="1210" spans="1:27" ht="15" customHeight="1" x14ac:dyDescent="0.25">
      <c r="A1210" s="85"/>
      <c r="B1210" s="217" t="str">
        <f>IF(A1210&lt;&gt;"",_xlfn.MAXIFS($B$1:B1209,$A$1:A1209,A1210)+1,"")</f>
        <v/>
      </c>
      <c r="C1210" s="50"/>
      <c r="D1210" s="50"/>
      <c r="E1210" s="50"/>
      <c r="F1210" s="50"/>
      <c r="G1210" s="280"/>
      <c r="H1210" s="293"/>
      <c r="I1210" s="292"/>
      <c r="J1210" s="292"/>
      <c r="K1210" s="200"/>
      <c r="L1210" s="200"/>
      <c r="M1210" s="89" t="str">
        <f>IFERROR(VLOOKUP(H1210,Lijsten!$H$1:$I$100,2,0),"")</f>
        <v/>
      </c>
      <c r="N1210" s="89" t="str" cm="1">
        <f t="array" ref="N1210">IFERROR(_xlfn.IFS(AND(LEFT(F1210,6)="Arbeid",RIGHT(F1210,3)&lt;&gt;"IKS"),IFERROR(VLOOKUP($G1210,Tb_KostenTypen[],2,0),"tarief"),RIGHT(F1210,3)="IKS","Uurtarief",LEFT(F1210,6)="Arbeid","Uurtarief",AND(LEFT(F1210,8)="Bijdrage",RIGHT(F1210,15)="(vrijwilligers)"),"Vast tarief"),"")</f>
        <v/>
      </c>
      <c r="O1210" s="90"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0"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1"/>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59"/>
      <c r="Z1210" s="49"/>
      <c r="AA1210" s="37" t="str" cm="1">
        <f t="array" ref="AA1210">IFERROR(IF(INDEX(SubsidieTabel!$Q$1:$T$9,MATCH($F1210,SubsidieTabel!$Q$1:$Q$9,0),IFERROR(MATCH(Methode_Keuze,SubsidieTabel!$Q$1:$T$1,0),2))&lt;&gt;1=TRUE,"ja",""),"")</f>
        <v/>
      </c>
    </row>
    <row r="1211" spans="1:27" ht="15" customHeight="1" x14ac:dyDescent="0.25">
      <c r="A1211" s="85"/>
      <c r="B1211" s="217" t="str">
        <f>IF(A1211&lt;&gt;"",_xlfn.MAXIFS($B$1:B1210,$A$1:A1210,A1211)+1,"")</f>
        <v/>
      </c>
      <c r="C1211" s="50"/>
      <c r="D1211" s="50"/>
      <c r="E1211" s="50"/>
      <c r="F1211" s="50"/>
      <c r="G1211" s="280"/>
      <c r="H1211" s="293"/>
      <c r="I1211" s="292"/>
      <c r="J1211" s="292"/>
      <c r="K1211" s="200"/>
      <c r="L1211" s="200"/>
      <c r="M1211" s="89" t="str">
        <f>IFERROR(VLOOKUP(H1211,Lijsten!$H$1:$I$100,2,0),"")</f>
        <v/>
      </c>
      <c r="N1211" s="89" t="str" cm="1">
        <f t="array" ref="N1211">IFERROR(_xlfn.IFS(AND(LEFT(F1211,6)="Arbeid",RIGHT(F1211,3)&lt;&gt;"IKS"),IFERROR(VLOOKUP($G1211,Tb_KostenTypen[],2,0),"tarief"),RIGHT(F1211,3)="IKS","Uurtarief",LEFT(F1211,6)="Arbeid","Uurtarief",AND(LEFT(F1211,8)="Bijdrage",RIGHT(F1211,15)="(vrijwilligers)"),"Vast tarief"),"")</f>
        <v/>
      </c>
      <c r="O1211" s="90"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0"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1"/>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59"/>
      <c r="Z1211" s="49"/>
      <c r="AA1211" s="37" t="str" cm="1">
        <f t="array" ref="AA1211">IFERROR(IF(INDEX(SubsidieTabel!$Q$1:$T$9,MATCH($F1211,SubsidieTabel!$Q$1:$Q$9,0),IFERROR(MATCH(Methode_Keuze,SubsidieTabel!$Q$1:$T$1,0),2))&lt;&gt;1=TRUE,"ja",""),"")</f>
        <v/>
      </c>
    </row>
    <row r="1212" spans="1:27" ht="15" customHeight="1" x14ac:dyDescent="0.25">
      <c r="A1212" s="85"/>
      <c r="B1212" s="217" t="str">
        <f>IF(A1212&lt;&gt;"",_xlfn.MAXIFS($B$1:B1211,$A$1:A1211,A1212)+1,"")</f>
        <v/>
      </c>
      <c r="C1212" s="50"/>
      <c r="D1212" s="50"/>
      <c r="E1212" s="50"/>
      <c r="F1212" s="50"/>
      <c r="G1212" s="280"/>
      <c r="H1212" s="293"/>
      <c r="I1212" s="292"/>
      <c r="J1212" s="292"/>
      <c r="K1212" s="200"/>
      <c r="L1212" s="200"/>
      <c r="M1212" s="89" t="str">
        <f>IFERROR(VLOOKUP(H1212,Lijsten!$H$1:$I$100,2,0),"")</f>
        <v/>
      </c>
      <c r="N1212" s="89" t="str" cm="1">
        <f t="array" ref="N1212">IFERROR(_xlfn.IFS(AND(LEFT(F1212,6)="Arbeid",RIGHT(F1212,3)&lt;&gt;"IKS"),IFERROR(VLOOKUP($G1212,Tb_KostenTypen[],2,0),"tarief"),RIGHT(F1212,3)="IKS","Uurtarief",LEFT(F1212,6)="Arbeid","Uurtarief",AND(LEFT(F1212,8)="Bijdrage",RIGHT(F1212,15)="(vrijwilligers)"),"Vast tarief"),"")</f>
        <v/>
      </c>
      <c r="O1212" s="90"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0"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1"/>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59"/>
      <c r="Z1212" s="49"/>
      <c r="AA1212" s="37" t="str" cm="1">
        <f t="array" ref="AA1212">IFERROR(IF(INDEX(SubsidieTabel!$Q$1:$T$9,MATCH($F1212,SubsidieTabel!$Q$1:$Q$9,0),IFERROR(MATCH(Methode_Keuze,SubsidieTabel!$Q$1:$T$1,0),2))&lt;&gt;1=TRUE,"ja",""),"")</f>
        <v/>
      </c>
    </row>
    <row r="1213" spans="1:27" ht="15" customHeight="1" x14ac:dyDescent="0.25">
      <c r="A1213" s="85"/>
      <c r="B1213" s="217" t="str">
        <f>IF(A1213&lt;&gt;"",_xlfn.MAXIFS($B$1:B1212,$A$1:A1212,A1213)+1,"")</f>
        <v/>
      </c>
      <c r="C1213" s="50"/>
      <c r="D1213" s="50"/>
      <c r="E1213" s="50"/>
      <c r="F1213" s="50"/>
      <c r="G1213" s="280"/>
      <c r="H1213" s="293"/>
      <c r="I1213" s="292"/>
      <c r="J1213" s="292"/>
      <c r="K1213" s="200"/>
      <c r="L1213" s="200"/>
      <c r="M1213" s="89" t="str">
        <f>IFERROR(VLOOKUP(H1213,Lijsten!$H$1:$I$100,2,0),"")</f>
        <v/>
      </c>
      <c r="N1213" s="89" t="str" cm="1">
        <f t="array" ref="N1213">IFERROR(_xlfn.IFS(AND(LEFT(F1213,6)="Arbeid",RIGHT(F1213,3)&lt;&gt;"IKS"),IFERROR(VLOOKUP($G1213,Tb_KostenTypen[],2,0),"tarief"),RIGHT(F1213,3)="IKS","Uurtarief",LEFT(F1213,6)="Arbeid","Uurtarief",AND(LEFT(F1213,8)="Bijdrage",RIGHT(F1213,15)="(vrijwilligers)"),"Vast tarief"),"")</f>
        <v/>
      </c>
      <c r="O1213" s="90"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0"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1"/>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59"/>
      <c r="Z1213" s="49"/>
      <c r="AA1213" s="37" t="str" cm="1">
        <f t="array" ref="AA1213">IFERROR(IF(INDEX(SubsidieTabel!$Q$1:$T$9,MATCH($F1213,SubsidieTabel!$Q$1:$Q$9,0),IFERROR(MATCH(Methode_Keuze,SubsidieTabel!$Q$1:$T$1,0),2))&lt;&gt;1=TRUE,"ja",""),"")</f>
        <v/>
      </c>
    </row>
    <row r="1214" spans="1:27" ht="15" customHeight="1" x14ac:dyDescent="0.25">
      <c r="A1214" s="85"/>
      <c r="B1214" s="217" t="str">
        <f>IF(A1214&lt;&gt;"",_xlfn.MAXIFS($B$1:B1213,$A$1:A1213,A1214)+1,"")</f>
        <v/>
      </c>
      <c r="C1214" s="50"/>
      <c r="D1214" s="50"/>
      <c r="E1214" s="50"/>
      <c r="F1214" s="50"/>
      <c r="G1214" s="280"/>
      <c r="H1214" s="293"/>
      <c r="I1214" s="292"/>
      <c r="J1214" s="292"/>
      <c r="K1214" s="200"/>
      <c r="L1214" s="200"/>
      <c r="M1214" s="89" t="str">
        <f>IFERROR(VLOOKUP(H1214,Lijsten!$H$1:$I$100,2,0),"")</f>
        <v/>
      </c>
      <c r="N1214" s="89" t="str" cm="1">
        <f t="array" ref="N1214">IFERROR(_xlfn.IFS(AND(LEFT(F1214,6)="Arbeid",RIGHT(F1214,3)&lt;&gt;"IKS"),IFERROR(VLOOKUP($G1214,Tb_KostenTypen[],2,0),"tarief"),RIGHT(F1214,3)="IKS","Uurtarief",LEFT(F1214,6)="Arbeid","Uurtarief",AND(LEFT(F1214,8)="Bijdrage",RIGHT(F1214,15)="(vrijwilligers)"),"Vast tarief"),"")</f>
        <v/>
      </c>
      <c r="O1214" s="90"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0"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1"/>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59"/>
      <c r="Z1214" s="49"/>
      <c r="AA1214" s="37" t="str" cm="1">
        <f t="array" ref="AA1214">IFERROR(IF(INDEX(SubsidieTabel!$Q$1:$T$9,MATCH($F1214,SubsidieTabel!$Q$1:$Q$9,0),IFERROR(MATCH(Methode_Keuze,SubsidieTabel!$Q$1:$T$1,0),2))&lt;&gt;1=TRUE,"ja",""),"")</f>
        <v/>
      </c>
    </row>
    <row r="1215" spans="1:27" ht="15" customHeight="1" x14ac:dyDescent="0.25">
      <c r="A1215" s="85"/>
      <c r="B1215" s="217" t="str">
        <f>IF(A1215&lt;&gt;"",_xlfn.MAXIFS($B$1:B1214,$A$1:A1214,A1215)+1,"")</f>
        <v/>
      </c>
      <c r="C1215" s="50"/>
      <c r="D1215" s="50"/>
      <c r="E1215" s="50"/>
      <c r="F1215" s="50"/>
      <c r="G1215" s="280"/>
      <c r="H1215" s="293"/>
      <c r="I1215" s="292"/>
      <c r="J1215" s="292"/>
      <c r="K1215" s="200"/>
      <c r="L1215" s="200"/>
      <c r="M1215" s="89" t="str">
        <f>IFERROR(VLOOKUP(H1215,Lijsten!$H$1:$I$100,2,0),"")</f>
        <v/>
      </c>
      <c r="N1215" s="89" t="str" cm="1">
        <f t="array" ref="N1215">IFERROR(_xlfn.IFS(AND(LEFT(F1215,6)="Arbeid",RIGHT(F1215,3)&lt;&gt;"IKS"),IFERROR(VLOOKUP($G1215,Tb_KostenTypen[],2,0),"tarief"),RIGHT(F1215,3)="IKS","Uurtarief",LEFT(F1215,6)="Arbeid","Uurtarief",AND(LEFT(F1215,8)="Bijdrage",RIGHT(F1215,15)="(vrijwilligers)"),"Vast tarief"),"")</f>
        <v/>
      </c>
      <c r="O1215" s="90"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0"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1"/>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59"/>
      <c r="Z1215" s="49"/>
      <c r="AA1215" s="37" t="str" cm="1">
        <f t="array" ref="AA1215">IFERROR(IF(INDEX(SubsidieTabel!$Q$1:$T$9,MATCH($F1215,SubsidieTabel!$Q$1:$Q$9,0),IFERROR(MATCH(Methode_Keuze,SubsidieTabel!$Q$1:$T$1,0),2))&lt;&gt;1=TRUE,"ja",""),"")</f>
        <v/>
      </c>
    </row>
    <row r="1216" spans="1:27" ht="15" customHeight="1" x14ac:dyDescent="0.25">
      <c r="A1216" s="85"/>
      <c r="B1216" s="217" t="str">
        <f>IF(A1216&lt;&gt;"",_xlfn.MAXIFS($B$1:B1215,$A$1:A1215,A1216)+1,"")</f>
        <v/>
      </c>
      <c r="C1216" s="50"/>
      <c r="D1216" s="50"/>
      <c r="E1216" s="50"/>
      <c r="F1216" s="50"/>
      <c r="G1216" s="280"/>
      <c r="H1216" s="293"/>
      <c r="I1216" s="292"/>
      <c r="J1216" s="292"/>
      <c r="K1216" s="200"/>
      <c r="L1216" s="200"/>
      <c r="M1216" s="89" t="str">
        <f>IFERROR(VLOOKUP(H1216,Lijsten!$H$1:$I$100,2,0),"")</f>
        <v/>
      </c>
      <c r="N1216" s="89" t="str" cm="1">
        <f t="array" ref="N1216">IFERROR(_xlfn.IFS(AND(LEFT(F1216,6)="Arbeid",RIGHT(F1216,3)&lt;&gt;"IKS"),IFERROR(VLOOKUP($G1216,Tb_KostenTypen[],2,0),"tarief"),RIGHT(F1216,3)="IKS","Uurtarief",LEFT(F1216,6)="Arbeid","Uurtarief",AND(LEFT(F1216,8)="Bijdrage",RIGHT(F1216,15)="(vrijwilligers)"),"Vast tarief"),"")</f>
        <v/>
      </c>
      <c r="O1216" s="90"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0"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1"/>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59"/>
      <c r="Z1216" s="49"/>
      <c r="AA1216" s="37" t="str" cm="1">
        <f t="array" ref="AA1216">IFERROR(IF(INDEX(SubsidieTabel!$Q$1:$T$9,MATCH($F1216,SubsidieTabel!$Q$1:$Q$9,0),IFERROR(MATCH(Methode_Keuze,SubsidieTabel!$Q$1:$T$1,0),2))&lt;&gt;1=TRUE,"ja",""),"")</f>
        <v/>
      </c>
    </row>
    <row r="1217" spans="1:27" ht="15" customHeight="1" x14ac:dyDescent="0.25">
      <c r="A1217" s="85"/>
      <c r="B1217" s="217" t="str">
        <f>IF(A1217&lt;&gt;"",_xlfn.MAXIFS($B$1:B1216,$A$1:A1216,A1217)+1,"")</f>
        <v/>
      </c>
      <c r="C1217" s="50"/>
      <c r="D1217" s="50"/>
      <c r="E1217" s="50"/>
      <c r="F1217" s="50"/>
      <c r="G1217" s="280"/>
      <c r="H1217" s="293"/>
      <c r="I1217" s="292"/>
      <c r="J1217" s="292"/>
      <c r="K1217" s="200"/>
      <c r="L1217" s="200"/>
      <c r="M1217" s="89" t="str">
        <f>IFERROR(VLOOKUP(H1217,Lijsten!$H$1:$I$100,2,0),"")</f>
        <v/>
      </c>
      <c r="N1217" s="89" t="str" cm="1">
        <f t="array" ref="N1217">IFERROR(_xlfn.IFS(AND(LEFT(F1217,6)="Arbeid",RIGHT(F1217,3)&lt;&gt;"IKS"),IFERROR(VLOOKUP($G1217,Tb_KostenTypen[],2,0),"tarief"),RIGHT(F1217,3)="IKS","Uurtarief",LEFT(F1217,6)="Arbeid","Uurtarief",AND(LEFT(F1217,8)="Bijdrage",RIGHT(F1217,15)="(vrijwilligers)"),"Vast tarief"),"")</f>
        <v/>
      </c>
      <c r="O1217" s="90"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0"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1"/>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59"/>
      <c r="Z1217" s="49"/>
      <c r="AA1217" s="37" t="str" cm="1">
        <f t="array" ref="AA1217">IFERROR(IF(INDEX(SubsidieTabel!$Q$1:$T$9,MATCH($F1217,SubsidieTabel!$Q$1:$Q$9,0),IFERROR(MATCH(Methode_Keuze,SubsidieTabel!$Q$1:$T$1,0),2))&lt;&gt;1=TRUE,"ja",""),"")</f>
        <v/>
      </c>
    </row>
    <row r="1218" spans="1:27" ht="15" customHeight="1" x14ac:dyDescent="0.25">
      <c r="A1218" s="85"/>
      <c r="B1218" s="217" t="str">
        <f>IF(A1218&lt;&gt;"",_xlfn.MAXIFS($B$1:B1217,$A$1:A1217,A1218)+1,"")</f>
        <v/>
      </c>
      <c r="C1218" s="50"/>
      <c r="D1218" s="50"/>
      <c r="E1218" s="50"/>
      <c r="F1218" s="50"/>
      <c r="G1218" s="280"/>
      <c r="H1218" s="293"/>
      <c r="I1218" s="292"/>
      <c r="J1218" s="292"/>
      <c r="K1218" s="200"/>
      <c r="L1218" s="200"/>
      <c r="M1218" s="89" t="str">
        <f>IFERROR(VLOOKUP(H1218,Lijsten!$H$1:$I$100,2,0),"")</f>
        <v/>
      </c>
      <c r="N1218" s="89" t="str" cm="1">
        <f t="array" ref="N1218">IFERROR(_xlfn.IFS(AND(LEFT(F1218,6)="Arbeid",RIGHT(F1218,3)&lt;&gt;"IKS"),IFERROR(VLOOKUP($G1218,Tb_KostenTypen[],2,0),"tarief"),RIGHT(F1218,3)="IKS","Uurtarief",LEFT(F1218,6)="Arbeid","Uurtarief",AND(LEFT(F1218,8)="Bijdrage",RIGHT(F1218,15)="(vrijwilligers)"),"Vast tarief"),"")</f>
        <v/>
      </c>
      <c r="O1218" s="90"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0"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1"/>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59"/>
      <c r="Z1218" s="49"/>
      <c r="AA1218" s="37" t="str" cm="1">
        <f t="array" ref="AA1218">IFERROR(IF(INDEX(SubsidieTabel!$Q$1:$T$9,MATCH($F1218,SubsidieTabel!$Q$1:$Q$9,0),IFERROR(MATCH(Methode_Keuze,SubsidieTabel!$Q$1:$T$1,0),2))&lt;&gt;1=TRUE,"ja",""),"")</f>
        <v/>
      </c>
    </row>
    <row r="1219" spans="1:27" ht="15" customHeight="1" x14ac:dyDescent="0.25">
      <c r="A1219" s="85"/>
      <c r="B1219" s="217" t="str">
        <f>IF(A1219&lt;&gt;"",_xlfn.MAXIFS($B$1:B1218,$A$1:A1218,A1219)+1,"")</f>
        <v/>
      </c>
      <c r="C1219" s="50"/>
      <c r="D1219" s="50"/>
      <c r="E1219" s="50"/>
      <c r="F1219" s="50"/>
      <c r="G1219" s="280"/>
      <c r="H1219" s="293"/>
      <c r="I1219" s="292"/>
      <c r="J1219" s="292"/>
      <c r="K1219" s="200"/>
      <c r="L1219" s="200"/>
      <c r="M1219" s="89" t="str">
        <f>IFERROR(VLOOKUP(H1219,Lijsten!$H$1:$I$100,2,0),"")</f>
        <v/>
      </c>
      <c r="N1219" s="89" t="str" cm="1">
        <f t="array" ref="N1219">IFERROR(_xlfn.IFS(AND(LEFT(F1219,6)="Arbeid",RIGHT(F1219,3)&lt;&gt;"IKS"),IFERROR(VLOOKUP($G1219,Tb_KostenTypen[],2,0),"tarief"),RIGHT(F1219,3)="IKS","Uurtarief",LEFT(F1219,6)="Arbeid","Uurtarief",AND(LEFT(F1219,8)="Bijdrage",RIGHT(F1219,15)="(vrijwilligers)"),"Vast tarief"),"")</f>
        <v/>
      </c>
      <c r="O1219" s="90"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0"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1"/>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59"/>
      <c r="Z1219" s="49"/>
      <c r="AA1219" s="37" t="str" cm="1">
        <f t="array" ref="AA1219">IFERROR(IF(INDEX(SubsidieTabel!$Q$1:$T$9,MATCH($F1219,SubsidieTabel!$Q$1:$Q$9,0),IFERROR(MATCH(Methode_Keuze,SubsidieTabel!$Q$1:$T$1,0),2))&lt;&gt;1=TRUE,"ja",""),"")</f>
        <v/>
      </c>
    </row>
    <row r="1220" spans="1:27" ht="15" customHeight="1" x14ac:dyDescent="0.25">
      <c r="A1220" s="85"/>
      <c r="B1220" s="217" t="str">
        <f>IF(A1220&lt;&gt;"",_xlfn.MAXIFS($B$1:B1219,$A$1:A1219,A1220)+1,"")</f>
        <v/>
      </c>
      <c r="C1220" s="50"/>
      <c r="D1220" s="50"/>
      <c r="E1220" s="50"/>
      <c r="F1220" s="50"/>
      <c r="G1220" s="280"/>
      <c r="H1220" s="293"/>
      <c r="I1220" s="292"/>
      <c r="J1220" s="292"/>
      <c r="K1220" s="200"/>
      <c r="L1220" s="200"/>
      <c r="M1220" s="89" t="str">
        <f>IFERROR(VLOOKUP(H1220,Lijsten!$H$1:$I$100,2,0),"")</f>
        <v/>
      </c>
      <c r="N1220" s="89" t="str" cm="1">
        <f t="array" ref="N1220">IFERROR(_xlfn.IFS(AND(LEFT(F1220,6)="Arbeid",RIGHT(F1220,3)&lt;&gt;"IKS"),IFERROR(VLOOKUP($G1220,Tb_KostenTypen[],2,0),"tarief"),RIGHT(F1220,3)="IKS","Uurtarief",LEFT(F1220,6)="Arbeid","Uurtarief",AND(LEFT(F1220,8)="Bijdrage",RIGHT(F1220,15)="(vrijwilligers)"),"Vast tarief"),"")</f>
        <v/>
      </c>
      <c r="O1220" s="90"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0"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1"/>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59"/>
      <c r="Z1220" s="49"/>
      <c r="AA1220" s="37" t="str" cm="1">
        <f t="array" ref="AA1220">IFERROR(IF(INDEX(SubsidieTabel!$Q$1:$T$9,MATCH($F1220,SubsidieTabel!$Q$1:$Q$9,0),IFERROR(MATCH(Methode_Keuze,SubsidieTabel!$Q$1:$T$1,0),2))&lt;&gt;1=TRUE,"ja",""),"")</f>
        <v/>
      </c>
    </row>
    <row r="1221" spans="1:27" ht="15" customHeight="1" x14ac:dyDescent="0.25">
      <c r="A1221" s="85"/>
      <c r="B1221" s="217" t="str">
        <f>IF(A1221&lt;&gt;"",_xlfn.MAXIFS($B$1:B1220,$A$1:A1220,A1221)+1,"")</f>
        <v/>
      </c>
      <c r="C1221" s="50"/>
      <c r="D1221" s="50"/>
      <c r="E1221" s="50"/>
      <c r="F1221" s="50"/>
      <c r="G1221" s="280"/>
      <c r="H1221" s="293"/>
      <c r="I1221" s="292"/>
      <c r="J1221" s="292"/>
      <c r="K1221" s="200"/>
      <c r="L1221" s="200"/>
      <c r="M1221" s="89" t="str">
        <f>IFERROR(VLOOKUP(H1221,Lijsten!$H$1:$I$100,2,0),"")</f>
        <v/>
      </c>
      <c r="N1221" s="89" t="str" cm="1">
        <f t="array" ref="N1221">IFERROR(_xlfn.IFS(AND(LEFT(F1221,6)="Arbeid",RIGHT(F1221,3)&lt;&gt;"IKS"),IFERROR(VLOOKUP($G1221,Tb_KostenTypen[],2,0),"tarief"),RIGHT(F1221,3)="IKS","Uurtarief",LEFT(F1221,6)="Arbeid","Uurtarief",AND(LEFT(F1221,8)="Bijdrage",RIGHT(F1221,15)="(vrijwilligers)"),"Vast tarief"),"")</f>
        <v/>
      </c>
      <c r="O1221" s="90"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0"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1"/>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59"/>
      <c r="Z1221" s="49"/>
      <c r="AA1221" s="37" t="str" cm="1">
        <f t="array" ref="AA1221">IFERROR(IF(INDEX(SubsidieTabel!$Q$1:$T$9,MATCH($F1221,SubsidieTabel!$Q$1:$Q$9,0),IFERROR(MATCH(Methode_Keuze,SubsidieTabel!$Q$1:$T$1,0),2))&lt;&gt;1=TRUE,"ja",""),"")</f>
        <v/>
      </c>
    </row>
    <row r="1222" spans="1:27" ht="15" customHeight="1" x14ac:dyDescent="0.25">
      <c r="A1222" s="85"/>
      <c r="B1222" s="217" t="str">
        <f>IF(A1222&lt;&gt;"",_xlfn.MAXIFS($B$1:B1221,$A$1:A1221,A1222)+1,"")</f>
        <v/>
      </c>
      <c r="C1222" s="50"/>
      <c r="D1222" s="50"/>
      <c r="E1222" s="50"/>
      <c r="F1222" s="50"/>
      <c r="G1222" s="280"/>
      <c r="H1222" s="293"/>
      <c r="I1222" s="292"/>
      <c r="J1222" s="292"/>
      <c r="K1222" s="200"/>
      <c r="L1222" s="200"/>
      <c r="M1222" s="89" t="str">
        <f>IFERROR(VLOOKUP(H1222,Lijsten!$H$1:$I$100,2,0),"")</f>
        <v/>
      </c>
      <c r="N1222" s="89" t="str" cm="1">
        <f t="array" ref="N1222">IFERROR(_xlfn.IFS(AND(LEFT(F1222,6)="Arbeid",RIGHT(F1222,3)&lt;&gt;"IKS"),IFERROR(VLOOKUP($G1222,Tb_KostenTypen[],2,0),"tarief"),RIGHT(F1222,3)="IKS","Uurtarief",LEFT(F1222,6)="Arbeid","Uurtarief",AND(LEFT(F1222,8)="Bijdrage",RIGHT(F1222,15)="(vrijwilligers)"),"Vast tarief"),"")</f>
        <v/>
      </c>
      <c r="O1222" s="90"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0"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1"/>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59"/>
      <c r="Z1222" s="49"/>
      <c r="AA1222" s="37" t="str" cm="1">
        <f t="array" ref="AA1222">IFERROR(IF(INDEX(SubsidieTabel!$Q$1:$T$9,MATCH($F1222,SubsidieTabel!$Q$1:$Q$9,0),IFERROR(MATCH(Methode_Keuze,SubsidieTabel!$Q$1:$T$1,0),2))&lt;&gt;1=TRUE,"ja",""),"")</f>
        <v/>
      </c>
    </row>
    <row r="1223" spans="1:27" ht="15" customHeight="1" x14ac:dyDescent="0.25">
      <c r="A1223" s="85"/>
      <c r="B1223" s="217" t="str">
        <f>IF(A1223&lt;&gt;"",_xlfn.MAXIFS($B$1:B1222,$A$1:A1222,A1223)+1,"")</f>
        <v/>
      </c>
      <c r="C1223" s="50"/>
      <c r="D1223" s="50"/>
      <c r="E1223" s="50"/>
      <c r="F1223" s="50"/>
      <c r="G1223" s="280"/>
      <c r="H1223" s="293"/>
      <c r="I1223" s="292"/>
      <c r="J1223" s="292"/>
      <c r="K1223" s="200"/>
      <c r="L1223" s="200"/>
      <c r="M1223" s="89" t="str">
        <f>IFERROR(VLOOKUP(H1223,Lijsten!$H$1:$I$100,2,0),"")</f>
        <v/>
      </c>
      <c r="N1223" s="89" t="str" cm="1">
        <f t="array" ref="N1223">IFERROR(_xlfn.IFS(AND(LEFT(F1223,6)="Arbeid",RIGHT(F1223,3)&lt;&gt;"IKS"),IFERROR(VLOOKUP($G1223,Tb_KostenTypen[],2,0),"tarief"),RIGHT(F1223,3)="IKS","Uurtarief",LEFT(F1223,6)="Arbeid","Uurtarief",AND(LEFT(F1223,8)="Bijdrage",RIGHT(F1223,15)="(vrijwilligers)"),"Vast tarief"),"")</f>
        <v/>
      </c>
      <c r="O1223" s="90"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0"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1"/>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59"/>
      <c r="Z1223" s="49"/>
      <c r="AA1223" s="37" t="str" cm="1">
        <f t="array" ref="AA1223">IFERROR(IF(INDEX(SubsidieTabel!$Q$1:$T$9,MATCH($F1223,SubsidieTabel!$Q$1:$Q$9,0),IFERROR(MATCH(Methode_Keuze,SubsidieTabel!$Q$1:$T$1,0),2))&lt;&gt;1=TRUE,"ja",""),"")</f>
        <v/>
      </c>
    </row>
    <row r="1224" spans="1:27" ht="15" customHeight="1" x14ac:dyDescent="0.25">
      <c r="A1224" s="85"/>
      <c r="B1224" s="217" t="str">
        <f>IF(A1224&lt;&gt;"",_xlfn.MAXIFS($B$1:B1223,$A$1:A1223,A1224)+1,"")</f>
        <v/>
      </c>
      <c r="C1224" s="50"/>
      <c r="D1224" s="50"/>
      <c r="E1224" s="50"/>
      <c r="F1224" s="50"/>
      <c r="G1224" s="280"/>
      <c r="H1224" s="293"/>
      <c r="I1224" s="292"/>
      <c r="J1224" s="292"/>
      <c r="K1224" s="200"/>
      <c r="L1224" s="200"/>
      <c r="M1224" s="89" t="str">
        <f>IFERROR(VLOOKUP(H1224,Lijsten!$H$1:$I$100,2,0),"")</f>
        <v/>
      </c>
      <c r="N1224" s="89" t="str" cm="1">
        <f t="array" ref="N1224">IFERROR(_xlfn.IFS(AND(LEFT(F1224,6)="Arbeid",RIGHT(F1224,3)&lt;&gt;"IKS"),IFERROR(VLOOKUP($G1224,Tb_KostenTypen[],2,0),"tarief"),RIGHT(F1224,3)="IKS","Uurtarief",LEFT(F1224,6)="Arbeid","Uurtarief",AND(LEFT(F1224,8)="Bijdrage",RIGHT(F1224,15)="(vrijwilligers)"),"Vast tarief"),"")</f>
        <v/>
      </c>
      <c r="O1224" s="90"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0"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1"/>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59"/>
      <c r="Z1224" s="49"/>
      <c r="AA1224" s="37" t="str" cm="1">
        <f t="array" ref="AA1224">IFERROR(IF(INDEX(SubsidieTabel!$Q$1:$T$9,MATCH($F1224,SubsidieTabel!$Q$1:$Q$9,0),IFERROR(MATCH(Methode_Keuze,SubsidieTabel!$Q$1:$T$1,0),2))&lt;&gt;1=TRUE,"ja",""),"")</f>
        <v/>
      </c>
    </row>
    <row r="1225" spans="1:27" ht="15" customHeight="1" x14ac:dyDescent="0.25">
      <c r="A1225" s="85"/>
      <c r="B1225" s="217" t="str">
        <f>IF(A1225&lt;&gt;"",_xlfn.MAXIFS($B$1:B1224,$A$1:A1224,A1225)+1,"")</f>
        <v/>
      </c>
      <c r="C1225" s="50"/>
      <c r="D1225" s="50"/>
      <c r="E1225" s="50"/>
      <c r="F1225" s="50"/>
      <c r="G1225" s="280"/>
      <c r="H1225" s="293"/>
      <c r="I1225" s="292"/>
      <c r="J1225" s="292"/>
      <c r="K1225" s="200"/>
      <c r="L1225" s="200"/>
      <c r="M1225" s="89" t="str">
        <f>IFERROR(VLOOKUP(H1225,Lijsten!$H$1:$I$100,2,0),"")</f>
        <v/>
      </c>
      <c r="N1225" s="89" t="str" cm="1">
        <f t="array" ref="N1225">IFERROR(_xlfn.IFS(AND(LEFT(F1225,6)="Arbeid",RIGHT(F1225,3)&lt;&gt;"IKS"),IFERROR(VLOOKUP($G1225,Tb_KostenTypen[],2,0),"tarief"),RIGHT(F1225,3)="IKS","Uurtarief",LEFT(F1225,6)="Arbeid","Uurtarief",AND(LEFT(F1225,8)="Bijdrage",RIGHT(F1225,15)="(vrijwilligers)"),"Vast tarief"),"")</f>
        <v/>
      </c>
      <c r="O1225" s="90"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0"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1"/>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59"/>
      <c r="Z1225" s="49"/>
      <c r="AA1225" s="37" t="str" cm="1">
        <f t="array" ref="AA1225">IFERROR(IF(INDEX(SubsidieTabel!$Q$1:$T$9,MATCH($F1225,SubsidieTabel!$Q$1:$Q$9,0),IFERROR(MATCH(Methode_Keuze,SubsidieTabel!$Q$1:$T$1,0),2))&lt;&gt;1=TRUE,"ja",""),"")</f>
        <v/>
      </c>
    </row>
    <row r="1226" spans="1:27" ht="15" customHeight="1" x14ac:dyDescent="0.25">
      <c r="A1226" s="85"/>
      <c r="B1226" s="217" t="str">
        <f>IF(A1226&lt;&gt;"",_xlfn.MAXIFS($B$1:B1225,$A$1:A1225,A1226)+1,"")</f>
        <v/>
      </c>
      <c r="C1226" s="50"/>
      <c r="D1226" s="50"/>
      <c r="E1226" s="50"/>
      <c r="F1226" s="50"/>
      <c r="G1226" s="280"/>
      <c r="H1226" s="293"/>
      <c r="I1226" s="292"/>
      <c r="J1226" s="292"/>
      <c r="K1226" s="200"/>
      <c r="L1226" s="200"/>
      <c r="M1226" s="89" t="str">
        <f>IFERROR(VLOOKUP(H1226,Lijsten!$H$1:$I$100,2,0),"")</f>
        <v/>
      </c>
      <c r="N1226" s="89" t="str" cm="1">
        <f t="array" ref="N1226">IFERROR(_xlfn.IFS(AND(LEFT(F1226,6)="Arbeid",RIGHT(F1226,3)&lt;&gt;"IKS"),IFERROR(VLOOKUP($G1226,Tb_KostenTypen[],2,0),"tarief"),RIGHT(F1226,3)="IKS","Uurtarief",LEFT(F1226,6)="Arbeid","Uurtarief",AND(LEFT(F1226,8)="Bijdrage",RIGHT(F1226,15)="(vrijwilligers)"),"Vast tarief"),"")</f>
        <v/>
      </c>
      <c r="O1226" s="90"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0"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1"/>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59"/>
      <c r="Z1226" s="49"/>
      <c r="AA1226" s="37" t="str" cm="1">
        <f t="array" ref="AA1226">IFERROR(IF(INDEX(SubsidieTabel!$Q$1:$T$9,MATCH($F1226,SubsidieTabel!$Q$1:$Q$9,0),IFERROR(MATCH(Methode_Keuze,SubsidieTabel!$Q$1:$T$1,0),2))&lt;&gt;1=TRUE,"ja",""),"")</f>
        <v/>
      </c>
    </row>
    <row r="1227" spans="1:27" ht="15" customHeight="1" x14ac:dyDescent="0.25">
      <c r="A1227" s="85"/>
      <c r="B1227" s="217" t="str">
        <f>IF(A1227&lt;&gt;"",_xlfn.MAXIFS($B$1:B1226,$A$1:A1226,A1227)+1,"")</f>
        <v/>
      </c>
      <c r="C1227" s="50"/>
      <c r="D1227" s="50"/>
      <c r="E1227" s="50"/>
      <c r="F1227" s="50"/>
      <c r="G1227" s="280"/>
      <c r="H1227" s="293"/>
      <c r="I1227" s="292"/>
      <c r="J1227" s="292"/>
      <c r="K1227" s="200"/>
      <c r="L1227" s="200"/>
      <c r="M1227" s="89" t="str">
        <f>IFERROR(VLOOKUP(H1227,Lijsten!$H$1:$I$100,2,0),"")</f>
        <v/>
      </c>
      <c r="N1227" s="89" t="str" cm="1">
        <f t="array" ref="N1227">IFERROR(_xlfn.IFS(AND(LEFT(F1227,6)="Arbeid",RIGHT(F1227,3)&lt;&gt;"IKS"),IFERROR(VLOOKUP($G1227,Tb_KostenTypen[],2,0),"tarief"),RIGHT(F1227,3)="IKS","Uurtarief",LEFT(F1227,6)="Arbeid","Uurtarief",AND(LEFT(F1227,8)="Bijdrage",RIGHT(F1227,15)="(vrijwilligers)"),"Vast tarief"),"")</f>
        <v/>
      </c>
      <c r="O1227" s="90"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0"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1"/>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59"/>
      <c r="Z1227" s="49"/>
      <c r="AA1227" s="37" t="str" cm="1">
        <f t="array" ref="AA1227">IFERROR(IF(INDEX(SubsidieTabel!$Q$1:$T$9,MATCH($F1227,SubsidieTabel!$Q$1:$Q$9,0),IFERROR(MATCH(Methode_Keuze,SubsidieTabel!$Q$1:$T$1,0),2))&lt;&gt;1=TRUE,"ja",""),"")</f>
        <v/>
      </c>
    </row>
    <row r="1228" spans="1:27" ht="15" customHeight="1" x14ac:dyDescent="0.25">
      <c r="A1228" s="85"/>
      <c r="B1228" s="217" t="str">
        <f>IF(A1228&lt;&gt;"",_xlfn.MAXIFS($B$1:B1227,$A$1:A1227,A1228)+1,"")</f>
        <v/>
      </c>
      <c r="C1228" s="50"/>
      <c r="D1228" s="50"/>
      <c r="E1228" s="50"/>
      <c r="F1228" s="50"/>
      <c r="G1228" s="280"/>
      <c r="H1228" s="293"/>
      <c r="I1228" s="292"/>
      <c r="J1228" s="292"/>
      <c r="K1228" s="200"/>
      <c r="L1228" s="200"/>
      <c r="M1228" s="89" t="str">
        <f>IFERROR(VLOOKUP(H1228,Lijsten!$H$1:$I$100,2,0),"")</f>
        <v/>
      </c>
      <c r="N1228" s="89" t="str" cm="1">
        <f t="array" ref="N1228">IFERROR(_xlfn.IFS(AND(LEFT(F1228,6)="Arbeid",RIGHT(F1228,3)&lt;&gt;"IKS"),IFERROR(VLOOKUP($G1228,Tb_KostenTypen[],2,0),"tarief"),RIGHT(F1228,3)="IKS","Uurtarief",LEFT(F1228,6)="Arbeid","Uurtarief",AND(LEFT(F1228,8)="Bijdrage",RIGHT(F1228,15)="(vrijwilligers)"),"Vast tarief"),"")</f>
        <v/>
      </c>
      <c r="O1228" s="90"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0"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1"/>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59"/>
      <c r="Z1228" s="49"/>
      <c r="AA1228" s="37" t="str" cm="1">
        <f t="array" ref="AA1228">IFERROR(IF(INDEX(SubsidieTabel!$Q$1:$T$9,MATCH($F1228,SubsidieTabel!$Q$1:$Q$9,0),IFERROR(MATCH(Methode_Keuze,SubsidieTabel!$Q$1:$T$1,0),2))&lt;&gt;1=TRUE,"ja",""),"")</f>
        <v/>
      </c>
    </row>
    <row r="1229" spans="1:27" ht="15" customHeight="1" x14ac:dyDescent="0.25">
      <c r="A1229" s="85"/>
      <c r="B1229" s="217" t="str">
        <f>IF(A1229&lt;&gt;"",_xlfn.MAXIFS($B$1:B1228,$A$1:A1228,A1229)+1,"")</f>
        <v/>
      </c>
      <c r="C1229" s="50"/>
      <c r="D1229" s="50"/>
      <c r="E1229" s="50"/>
      <c r="F1229" s="50"/>
      <c r="G1229" s="280"/>
      <c r="H1229" s="293"/>
      <c r="I1229" s="292"/>
      <c r="J1229" s="292"/>
      <c r="K1229" s="200"/>
      <c r="L1229" s="200"/>
      <c r="M1229" s="89" t="str">
        <f>IFERROR(VLOOKUP(H1229,Lijsten!$H$1:$I$100,2,0),"")</f>
        <v/>
      </c>
      <c r="N1229" s="89" t="str" cm="1">
        <f t="array" ref="N1229">IFERROR(_xlfn.IFS(AND(LEFT(F1229,6)="Arbeid",RIGHT(F1229,3)&lt;&gt;"IKS"),IFERROR(VLOOKUP($G1229,Tb_KostenTypen[],2,0),"tarief"),RIGHT(F1229,3)="IKS","Uurtarief",LEFT(F1229,6)="Arbeid","Uurtarief",AND(LEFT(F1229,8)="Bijdrage",RIGHT(F1229,15)="(vrijwilligers)"),"Vast tarief"),"")</f>
        <v/>
      </c>
      <c r="O1229" s="90"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0"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1"/>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59"/>
      <c r="Z1229" s="49"/>
      <c r="AA1229" s="37" t="str" cm="1">
        <f t="array" ref="AA1229">IFERROR(IF(INDEX(SubsidieTabel!$Q$1:$T$9,MATCH($F1229,SubsidieTabel!$Q$1:$Q$9,0),IFERROR(MATCH(Methode_Keuze,SubsidieTabel!$Q$1:$T$1,0),2))&lt;&gt;1=TRUE,"ja",""),"")</f>
        <v/>
      </c>
    </row>
    <row r="1230" spans="1:27" ht="15" customHeight="1" x14ac:dyDescent="0.25">
      <c r="A1230" s="85"/>
      <c r="B1230" s="217" t="str">
        <f>IF(A1230&lt;&gt;"",_xlfn.MAXIFS($B$1:B1229,$A$1:A1229,A1230)+1,"")</f>
        <v/>
      </c>
      <c r="C1230" s="50"/>
      <c r="D1230" s="50"/>
      <c r="E1230" s="50"/>
      <c r="F1230" s="50"/>
      <c r="G1230" s="280"/>
      <c r="H1230" s="293"/>
      <c r="I1230" s="292"/>
      <c r="J1230" s="292"/>
      <c r="K1230" s="200"/>
      <c r="L1230" s="200"/>
      <c r="M1230" s="89" t="str">
        <f>IFERROR(VLOOKUP(H1230,Lijsten!$H$1:$I$100,2,0),"")</f>
        <v/>
      </c>
      <c r="N1230" s="89" t="str" cm="1">
        <f t="array" ref="N1230">IFERROR(_xlfn.IFS(AND(LEFT(F1230,6)="Arbeid",RIGHT(F1230,3)&lt;&gt;"IKS"),IFERROR(VLOOKUP($G1230,Tb_KostenTypen[],2,0),"tarief"),RIGHT(F1230,3)="IKS","Uurtarief",LEFT(F1230,6)="Arbeid","Uurtarief",AND(LEFT(F1230,8)="Bijdrage",RIGHT(F1230,15)="(vrijwilligers)"),"Vast tarief"),"")</f>
        <v/>
      </c>
      <c r="O1230" s="90"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0"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1"/>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59"/>
      <c r="Z1230" s="49"/>
      <c r="AA1230" s="37" t="str" cm="1">
        <f t="array" ref="AA1230">IFERROR(IF(INDEX(SubsidieTabel!$Q$1:$T$9,MATCH($F1230,SubsidieTabel!$Q$1:$Q$9,0),IFERROR(MATCH(Methode_Keuze,SubsidieTabel!$Q$1:$T$1,0),2))&lt;&gt;1=TRUE,"ja",""),"")</f>
        <v/>
      </c>
    </row>
    <row r="1231" spans="1:27" ht="15" customHeight="1" x14ac:dyDescent="0.25">
      <c r="A1231" s="85"/>
      <c r="B1231" s="217" t="str">
        <f>IF(A1231&lt;&gt;"",_xlfn.MAXIFS($B$1:B1230,$A$1:A1230,A1231)+1,"")</f>
        <v/>
      </c>
      <c r="C1231" s="50"/>
      <c r="D1231" s="50"/>
      <c r="E1231" s="50"/>
      <c r="F1231" s="50"/>
      <c r="G1231" s="280"/>
      <c r="H1231" s="293"/>
      <c r="I1231" s="292"/>
      <c r="J1231" s="292"/>
      <c r="K1231" s="200"/>
      <c r="L1231" s="200"/>
      <c r="M1231" s="89" t="str">
        <f>IFERROR(VLOOKUP(H1231,Lijsten!$H$1:$I$100,2,0),"")</f>
        <v/>
      </c>
      <c r="N1231" s="89" t="str" cm="1">
        <f t="array" ref="N1231">IFERROR(_xlfn.IFS(AND(LEFT(F1231,6)="Arbeid",RIGHT(F1231,3)&lt;&gt;"IKS"),IFERROR(VLOOKUP($G1231,Tb_KostenTypen[],2,0),"tarief"),RIGHT(F1231,3)="IKS","Uurtarief",LEFT(F1231,6)="Arbeid","Uurtarief",AND(LEFT(F1231,8)="Bijdrage",RIGHT(F1231,15)="(vrijwilligers)"),"Vast tarief"),"")</f>
        <v/>
      </c>
      <c r="O1231" s="90"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0"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1"/>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59"/>
      <c r="Z1231" s="49"/>
      <c r="AA1231" s="37" t="str" cm="1">
        <f t="array" ref="AA1231">IFERROR(IF(INDEX(SubsidieTabel!$Q$1:$T$9,MATCH($F1231,SubsidieTabel!$Q$1:$Q$9,0),IFERROR(MATCH(Methode_Keuze,SubsidieTabel!$Q$1:$T$1,0),2))&lt;&gt;1=TRUE,"ja",""),"")</f>
        <v/>
      </c>
    </row>
    <row r="1232" spans="1:27" ht="15" customHeight="1" x14ac:dyDescent="0.25">
      <c r="A1232" s="85"/>
      <c r="B1232" s="217" t="str">
        <f>IF(A1232&lt;&gt;"",_xlfn.MAXIFS($B$1:B1231,$A$1:A1231,A1232)+1,"")</f>
        <v/>
      </c>
      <c r="C1232" s="50"/>
      <c r="D1232" s="50"/>
      <c r="E1232" s="50"/>
      <c r="F1232" s="50"/>
      <c r="G1232" s="280"/>
      <c r="H1232" s="293"/>
      <c r="I1232" s="292"/>
      <c r="J1232" s="292"/>
      <c r="K1232" s="200"/>
      <c r="L1232" s="200"/>
      <c r="M1232" s="89" t="str">
        <f>IFERROR(VLOOKUP(H1232,Lijsten!$H$1:$I$100,2,0),"")</f>
        <v/>
      </c>
      <c r="N1232" s="89" t="str" cm="1">
        <f t="array" ref="N1232">IFERROR(_xlfn.IFS(AND(LEFT(F1232,6)="Arbeid",RIGHT(F1232,3)&lt;&gt;"IKS"),IFERROR(VLOOKUP($G1232,Tb_KostenTypen[],2,0),"tarief"),RIGHT(F1232,3)="IKS","Uurtarief",LEFT(F1232,6)="Arbeid","Uurtarief",AND(LEFT(F1232,8)="Bijdrage",RIGHT(F1232,15)="(vrijwilligers)"),"Vast tarief"),"")</f>
        <v/>
      </c>
      <c r="O1232" s="90"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0"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1"/>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59"/>
      <c r="Z1232" s="49"/>
      <c r="AA1232" s="37" t="str" cm="1">
        <f t="array" ref="AA1232">IFERROR(IF(INDEX(SubsidieTabel!$Q$1:$T$9,MATCH($F1232,SubsidieTabel!$Q$1:$Q$9,0),IFERROR(MATCH(Methode_Keuze,SubsidieTabel!$Q$1:$T$1,0),2))&lt;&gt;1=TRUE,"ja",""),"")</f>
        <v/>
      </c>
    </row>
    <row r="1233" spans="1:27" ht="15" customHeight="1" x14ac:dyDescent="0.25">
      <c r="A1233" s="85"/>
      <c r="B1233" s="217" t="str">
        <f>IF(A1233&lt;&gt;"",_xlfn.MAXIFS($B$1:B1232,$A$1:A1232,A1233)+1,"")</f>
        <v/>
      </c>
      <c r="C1233" s="50"/>
      <c r="D1233" s="50"/>
      <c r="E1233" s="50"/>
      <c r="F1233" s="50"/>
      <c r="G1233" s="280"/>
      <c r="H1233" s="293"/>
      <c r="I1233" s="292"/>
      <c r="J1233" s="292"/>
      <c r="K1233" s="200"/>
      <c r="L1233" s="200"/>
      <c r="M1233" s="89" t="str">
        <f>IFERROR(VLOOKUP(H1233,Lijsten!$H$1:$I$100,2,0),"")</f>
        <v/>
      </c>
      <c r="N1233" s="89" t="str" cm="1">
        <f t="array" ref="N1233">IFERROR(_xlfn.IFS(AND(LEFT(F1233,6)="Arbeid",RIGHT(F1233,3)&lt;&gt;"IKS"),IFERROR(VLOOKUP($G1233,Tb_KostenTypen[],2,0),"tarief"),RIGHT(F1233,3)="IKS","Uurtarief",LEFT(F1233,6)="Arbeid","Uurtarief",AND(LEFT(F1233,8)="Bijdrage",RIGHT(F1233,15)="(vrijwilligers)"),"Vast tarief"),"")</f>
        <v/>
      </c>
      <c r="O1233" s="90"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0"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1"/>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59"/>
      <c r="Z1233" s="49"/>
      <c r="AA1233" s="37" t="str" cm="1">
        <f t="array" ref="AA1233">IFERROR(IF(INDEX(SubsidieTabel!$Q$1:$T$9,MATCH($F1233,SubsidieTabel!$Q$1:$Q$9,0),IFERROR(MATCH(Methode_Keuze,SubsidieTabel!$Q$1:$T$1,0),2))&lt;&gt;1=TRUE,"ja",""),"")</f>
        <v/>
      </c>
    </row>
    <row r="1234" spans="1:27" ht="15" customHeight="1" x14ac:dyDescent="0.25">
      <c r="A1234" s="85"/>
      <c r="B1234" s="217" t="str">
        <f>IF(A1234&lt;&gt;"",_xlfn.MAXIFS($B$1:B1233,$A$1:A1233,A1234)+1,"")</f>
        <v/>
      </c>
      <c r="C1234" s="50"/>
      <c r="D1234" s="50"/>
      <c r="E1234" s="50"/>
      <c r="F1234" s="50"/>
      <c r="G1234" s="280"/>
      <c r="H1234" s="293"/>
      <c r="I1234" s="292"/>
      <c r="J1234" s="292"/>
      <c r="K1234" s="200"/>
      <c r="L1234" s="200"/>
      <c r="M1234" s="89" t="str">
        <f>IFERROR(VLOOKUP(H1234,Lijsten!$H$1:$I$100,2,0),"")</f>
        <v/>
      </c>
      <c r="N1234" s="89" t="str" cm="1">
        <f t="array" ref="N1234">IFERROR(_xlfn.IFS(AND(LEFT(F1234,6)="Arbeid",RIGHT(F1234,3)&lt;&gt;"IKS"),IFERROR(VLOOKUP($G1234,Tb_KostenTypen[],2,0),"tarief"),RIGHT(F1234,3)="IKS","Uurtarief",LEFT(F1234,6)="Arbeid","Uurtarief",AND(LEFT(F1234,8)="Bijdrage",RIGHT(F1234,15)="(vrijwilligers)"),"Vast tarief"),"")</f>
        <v/>
      </c>
      <c r="O1234" s="90"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0"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1"/>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59"/>
      <c r="Z1234" s="49"/>
      <c r="AA1234" s="37" t="str" cm="1">
        <f t="array" ref="AA1234">IFERROR(IF(INDEX(SubsidieTabel!$Q$1:$T$9,MATCH($F1234,SubsidieTabel!$Q$1:$Q$9,0),IFERROR(MATCH(Methode_Keuze,SubsidieTabel!$Q$1:$T$1,0),2))&lt;&gt;1=TRUE,"ja",""),"")</f>
        <v/>
      </c>
    </row>
    <row r="1235" spans="1:27" ht="15" customHeight="1" x14ac:dyDescent="0.25">
      <c r="A1235" s="85"/>
      <c r="B1235" s="217" t="str">
        <f>IF(A1235&lt;&gt;"",_xlfn.MAXIFS($B$1:B1234,$A$1:A1234,A1235)+1,"")</f>
        <v/>
      </c>
      <c r="C1235" s="50"/>
      <c r="D1235" s="50"/>
      <c r="E1235" s="50"/>
      <c r="F1235" s="50"/>
      <c r="G1235" s="280"/>
      <c r="H1235" s="293"/>
      <c r="I1235" s="292"/>
      <c r="J1235" s="292"/>
      <c r="K1235" s="200"/>
      <c r="L1235" s="200"/>
      <c r="M1235" s="89" t="str">
        <f>IFERROR(VLOOKUP(H1235,Lijsten!$H$1:$I$100,2,0),"")</f>
        <v/>
      </c>
      <c r="N1235" s="89" t="str" cm="1">
        <f t="array" ref="N1235">IFERROR(_xlfn.IFS(AND(LEFT(F1235,6)="Arbeid",RIGHT(F1235,3)&lt;&gt;"IKS"),IFERROR(VLOOKUP($G1235,Tb_KostenTypen[],2,0),"tarief"),RIGHT(F1235,3)="IKS","Uurtarief",LEFT(F1235,6)="Arbeid","Uurtarief",AND(LEFT(F1235,8)="Bijdrage",RIGHT(F1235,15)="(vrijwilligers)"),"Vast tarief"),"")</f>
        <v/>
      </c>
      <c r="O1235" s="90"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0"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1"/>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59"/>
      <c r="Z1235" s="49"/>
      <c r="AA1235" s="37" t="str" cm="1">
        <f t="array" ref="AA1235">IFERROR(IF(INDEX(SubsidieTabel!$Q$1:$T$9,MATCH($F1235,SubsidieTabel!$Q$1:$Q$9,0),IFERROR(MATCH(Methode_Keuze,SubsidieTabel!$Q$1:$T$1,0),2))&lt;&gt;1=TRUE,"ja",""),"")</f>
        <v/>
      </c>
    </row>
    <row r="1236" spans="1:27" ht="15" customHeight="1" x14ac:dyDescent="0.25">
      <c r="A1236" s="85"/>
      <c r="B1236" s="217" t="str">
        <f>IF(A1236&lt;&gt;"",_xlfn.MAXIFS($B$1:B1235,$A$1:A1235,A1236)+1,"")</f>
        <v/>
      </c>
      <c r="C1236" s="50"/>
      <c r="D1236" s="50"/>
      <c r="E1236" s="50"/>
      <c r="F1236" s="50"/>
      <c r="G1236" s="280"/>
      <c r="H1236" s="293"/>
      <c r="I1236" s="292"/>
      <c r="J1236" s="292"/>
      <c r="K1236" s="200"/>
      <c r="L1236" s="200"/>
      <c r="M1236" s="89" t="str">
        <f>IFERROR(VLOOKUP(H1236,Lijsten!$H$1:$I$100,2,0),"")</f>
        <v/>
      </c>
      <c r="N1236" s="89" t="str" cm="1">
        <f t="array" ref="N1236">IFERROR(_xlfn.IFS(AND(LEFT(F1236,6)="Arbeid",RIGHT(F1236,3)&lt;&gt;"IKS"),IFERROR(VLOOKUP($G1236,Tb_KostenTypen[],2,0),"tarief"),RIGHT(F1236,3)="IKS","Uurtarief",LEFT(F1236,6)="Arbeid","Uurtarief",AND(LEFT(F1236,8)="Bijdrage",RIGHT(F1236,15)="(vrijwilligers)"),"Vast tarief"),"")</f>
        <v/>
      </c>
      <c r="O1236" s="90"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0"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1"/>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59"/>
      <c r="Z1236" s="49"/>
      <c r="AA1236" s="37" t="str" cm="1">
        <f t="array" ref="AA1236">IFERROR(IF(INDEX(SubsidieTabel!$Q$1:$T$9,MATCH($F1236,SubsidieTabel!$Q$1:$Q$9,0),IFERROR(MATCH(Methode_Keuze,SubsidieTabel!$Q$1:$T$1,0),2))&lt;&gt;1=TRUE,"ja",""),"")</f>
        <v/>
      </c>
    </row>
    <row r="1237" spans="1:27" ht="15" customHeight="1" x14ac:dyDescent="0.25">
      <c r="A1237" s="85"/>
      <c r="B1237" s="217" t="str">
        <f>IF(A1237&lt;&gt;"",_xlfn.MAXIFS($B$1:B1236,$A$1:A1236,A1237)+1,"")</f>
        <v/>
      </c>
      <c r="C1237" s="50"/>
      <c r="D1237" s="50"/>
      <c r="E1237" s="50"/>
      <c r="F1237" s="50"/>
      <c r="G1237" s="280"/>
      <c r="H1237" s="293"/>
      <c r="I1237" s="292"/>
      <c r="J1237" s="292"/>
      <c r="K1237" s="200"/>
      <c r="L1237" s="200"/>
      <c r="M1237" s="89" t="str">
        <f>IFERROR(VLOOKUP(H1237,Lijsten!$H$1:$I$100,2,0),"")</f>
        <v/>
      </c>
      <c r="N1237" s="89" t="str" cm="1">
        <f t="array" ref="N1237">IFERROR(_xlfn.IFS(AND(LEFT(F1237,6)="Arbeid",RIGHT(F1237,3)&lt;&gt;"IKS"),IFERROR(VLOOKUP($G1237,Tb_KostenTypen[],2,0),"tarief"),RIGHT(F1237,3)="IKS","Uurtarief",LEFT(F1237,6)="Arbeid","Uurtarief",AND(LEFT(F1237,8)="Bijdrage",RIGHT(F1237,15)="(vrijwilligers)"),"Vast tarief"),"")</f>
        <v/>
      </c>
      <c r="O1237" s="90"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0"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1"/>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59"/>
      <c r="Z1237" s="49"/>
      <c r="AA1237" s="37" t="str" cm="1">
        <f t="array" ref="AA1237">IFERROR(IF(INDEX(SubsidieTabel!$Q$1:$T$9,MATCH($F1237,SubsidieTabel!$Q$1:$Q$9,0),IFERROR(MATCH(Methode_Keuze,SubsidieTabel!$Q$1:$T$1,0),2))&lt;&gt;1=TRUE,"ja",""),"")</f>
        <v/>
      </c>
    </row>
    <row r="1238" spans="1:27" ht="15" customHeight="1" x14ac:dyDescent="0.25">
      <c r="A1238" s="85"/>
      <c r="B1238" s="217" t="str">
        <f>IF(A1238&lt;&gt;"",_xlfn.MAXIFS($B$1:B1237,$A$1:A1237,A1238)+1,"")</f>
        <v/>
      </c>
      <c r="C1238" s="50"/>
      <c r="D1238" s="50"/>
      <c r="E1238" s="50"/>
      <c r="F1238" s="50"/>
      <c r="G1238" s="280"/>
      <c r="H1238" s="293"/>
      <c r="I1238" s="292"/>
      <c r="J1238" s="292"/>
      <c r="K1238" s="200"/>
      <c r="L1238" s="200"/>
      <c r="M1238" s="89" t="str">
        <f>IFERROR(VLOOKUP(H1238,Lijsten!$H$1:$I$100,2,0),"")</f>
        <v/>
      </c>
      <c r="N1238" s="89" t="str" cm="1">
        <f t="array" ref="N1238">IFERROR(_xlfn.IFS(AND(LEFT(F1238,6)="Arbeid",RIGHT(F1238,3)&lt;&gt;"IKS"),IFERROR(VLOOKUP($G1238,Tb_KostenTypen[],2,0),"tarief"),RIGHT(F1238,3)="IKS","Uurtarief",LEFT(F1238,6)="Arbeid","Uurtarief",AND(LEFT(F1238,8)="Bijdrage",RIGHT(F1238,15)="(vrijwilligers)"),"Vast tarief"),"")</f>
        <v/>
      </c>
      <c r="O1238" s="90"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0"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1"/>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59"/>
      <c r="Z1238" s="49"/>
      <c r="AA1238" s="37" t="str" cm="1">
        <f t="array" ref="AA1238">IFERROR(IF(INDEX(SubsidieTabel!$Q$1:$T$9,MATCH($F1238,SubsidieTabel!$Q$1:$Q$9,0),IFERROR(MATCH(Methode_Keuze,SubsidieTabel!$Q$1:$T$1,0),2))&lt;&gt;1=TRUE,"ja",""),"")</f>
        <v/>
      </c>
    </row>
    <row r="1239" spans="1:27" ht="15" customHeight="1" x14ac:dyDescent="0.25">
      <c r="A1239" s="85"/>
      <c r="B1239" s="217" t="str">
        <f>IF(A1239&lt;&gt;"",_xlfn.MAXIFS($B$1:B1238,$A$1:A1238,A1239)+1,"")</f>
        <v/>
      </c>
      <c r="C1239" s="50"/>
      <c r="D1239" s="50"/>
      <c r="E1239" s="50"/>
      <c r="F1239" s="50"/>
      <c r="G1239" s="280"/>
      <c r="H1239" s="293"/>
      <c r="I1239" s="292"/>
      <c r="J1239" s="292"/>
      <c r="K1239" s="200"/>
      <c r="L1239" s="200"/>
      <c r="M1239" s="89" t="str">
        <f>IFERROR(VLOOKUP(H1239,Lijsten!$H$1:$I$100,2,0),"")</f>
        <v/>
      </c>
      <c r="N1239" s="89" t="str" cm="1">
        <f t="array" ref="N1239">IFERROR(_xlfn.IFS(AND(LEFT(F1239,6)="Arbeid",RIGHT(F1239,3)&lt;&gt;"IKS"),IFERROR(VLOOKUP($G1239,Tb_KostenTypen[],2,0),"tarief"),RIGHT(F1239,3)="IKS","Uurtarief",LEFT(F1239,6)="Arbeid","Uurtarief",AND(LEFT(F1239,8)="Bijdrage",RIGHT(F1239,15)="(vrijwilligers)"),"Vast tarief"),"")</f>
        <v/>
      </c>
      <c r="O1239" s="90"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0"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1"/>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59"/>
      <c r="Z1239" s="49"/>
      <c r="AA1239" s="37" t="str" cm="1">
        <f t="array" ref="AA1239">IFERROR(IF(INDEX(SubsidieTabel!$Q$1:$T$9,MATCH($F1239,SubsidieTabel!$Q$1:$Q$9,0),IFERROR(MATCH(Methode_Keuze,SubsidieTabel!$Q$1:$T$1,0),2))&lt;&gt;1=TRUE,"ja",""),"")</f>
        <v/>
      </c>
    </row>
    <row r="1240" spans="1:27" ht="15" customHeight="1" x14ac:dyDescent="0.25">
      <c r="A1240" s="85"/>
      <c r="B1240" s="217" t="str">
        <f>IF(A1240&lt;&gt;"",_xlfn.MAXIFS($B$1:B1239,$A$1:A1239,A1240)+1,"")</f>
        <v/>
      </c>
      <c r="C1240" s="50"/>
      <c r="D1240" s="50"/>
      <c r="E1240" s="50"/>
      <c r="F1240" s="50"/>
      <c r="G1240" s="280"/>
      <c r="H1240" s="293"/>
      <c r="I1240" s="292"/>
      <c r="J1240" s="292"/>
      <c r="K1240" s="200"/>
      <c r="L1240" s="200"/>
      <c r="M1240" s="89" t="str">
        <f>IFERROR(VLOOKUP(H1240,Lijsten!$H$1:$I$100,2,0),"")</f>
        <v/>
      </c>
      <c r="N1240" s="89" t="str" cm="1">
        <f t="array" ref="N1240">IFERROR(_xlfn.IFS(AND(LEFT(F1240,6)="Arbeid",RIGHT(F1240,3)&lt;&gt;"IKS"),IFERROR(VLOOKUP($G1240,Tb_KostenTypen[],2,0),"tarief"),RIGHT(F1240,3)="IKS","Uurtarief",LEFT(F1240,6)="Arbeid","Uurtarief",AND(LEFT(F1240,8)="Bijdrage",RIGHT(F1240,15)="(vrijwilligers)"),"Vast tarief"),"")</f>
        <v/>
      </c>
      <c r="O1240" s="90"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0"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1"/>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59"/>
      <c r="Z1240" s="49"/>
      <c r="AA1240" s="37" t="str" cm="1">
        <f t="array" ref="AA1240">IFERROR(IF(INDEX(SubsidieTabel!$Q$1:$T$9,MATCH($F1240,SubsidieTabel!$Q$1:$Q$9,0),IFERROR(MATCH(Methode_Keuze,SubsidieTabel!$Q$1:$T$1,0),2))&lt;&gt;1=TRUE,"ja",""),"")</f>
        <v/>
      </c>
    </row>
    <row r="1241" spans="1:27" ht="15" customHeight="1" x14ac:dyDescent="0.25">
      <c r="A1241" s="85"/>
      <c r="B1241" s="217" t="str">
        <f>IF(A1241&lt;&gt;"",_xlfn.MAXIFS($B$1:B1240,$A$1:A1240,A1241)+1,"")</f>
        <v/>
      </c>
      <c r="C1241" s="50"/>
      <c r="D1241" s="50"/>
      <c r="E1241" s="50"/>
      <c r="F1241" s="50"/>
      <c r="G1241" s="280"/>
      <c r="H1241" s="293"/>
      <c r="I1241" s="292"/>
      <c r="J1241" s="292"/>
      <c r="K1241" s="200"/>
      <c r="L1241" s="200"/>
      <c r="M1241" s="89" t="str">
        <f>IFERROR(VLOOKUP(H1241,Lijsten!$H$1:$I$100,2,0),"")</f>
        <v/>
      </c>
      <c r="N1241" s="89" t="str" cm="1">
        <f t="array" ref="N1241">IFERROR(_xlfn.IFS(AND(LEFT(F1241,6)="Arbeid",RIGHT(F1241,3)&lt;&gt;"IKS"),IFERROR(VLOOKUP($G1241,Tb_KostenTypen[],2,0),"tarief"),RIGHT(F1241,3)="IKS","Uurtarief",LEFT(F1241,6)="Arbeid","Uurtarief",AND(LEFT(F1241,8)="Bijdrage",RIGHT(F1241,15)="(vrijwilligers)"),"Vast tarief"),"")</f>
        <v/>
      </c>
      <c r="O1241" s="90"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0"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1"/>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59"/>
      <c r="Z1241" s="49"/>
      <c r="AA1241" s="37" t="str" cm="1">
        <f t="array" ref="AA1241">IFERROR(IF(INDEX(SubsidieTabel!$Q$1:$T$9,MATCH($F1241,SubsidieTabel!$Q$1:$Q$9,0),IFERROR(MATCH(Methode_Keuze,SubsidieTabel!$Q$1:$T$1,0),2))&lt;&gt;1=TRUE,"ja",""),"")</f>
        <v/>
      </c>
    </row>
    <row r="1242" spans="1:27" ht="15" customHeight="1" x14ac:dyDescent="0.25">
      <c r="A1242" s="85"/>
      <c r="B1242" s="217" t="str">
        <f>IF(A1242&lt;&gt;"",_xlfn.MAXIFS($B$1:B1241,$A$1:A1241,A1242)+1,"")</f>
        <v/>
      </c>
      <c r="C1242" s="50"/>
      <c r="D1242" s="50"/>
      <c r="E1242" s="50"/>
      <c r="F1242" s="50"/>
      <c r="G1242" s="280"/>
      <c r="H1242" s="293"/>
      <c r="I1242" s="292"/>
      <c r="J1242" s="292"/>
      <c r="K1242" s="200"/>
      <c r="L1242" s="200"/>
      <c r="M1242" s="89" t="str">
        <f>IFERROR(VLOOKUP(H1242,Lijsten!$H$1:$I$100,2,0),"")</f>
        <v/>
      </c>
      <c r="N1242" s="89" t="str" cm="1">
        <f t="array" ref="N1242">IFERROR(_xlfn.IFS(AND(LEFT(F1242,6)="Arbeid",RIGHT(F1242,3)&lt;&gt;"IKS"),IFERROR(VLOOKUP($G1242,Tb_KostenTypen[],2,0),"tarief"),RIGHT(F1242,3)="IKS","Uurtarief",LEFT(F1242,6)="Arbeid","Uurtarief",AND(LEFT(F1242,8)="Bijdrage",RIGHT(F1242,15)="(vrijwilligers)"),"Vast tarief"),"")</f>
        <v/>
      </c>
      <c r="O1242" s="90"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0"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1"/>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59"/>
      <c r="Z1242" s="49"/>
      <c r="AA1242" s="37" t="str" cm="1">
        <f t="array" ref="AA1242">IFERROR(IF(INDEX(SubsidieTabel!$Q$1:$T$9,MATCH($F1242,SubsidieTabel!$Q$1:$Q$9,0),IFERROR(MATCH(Methode_Keuze,SubsidieTabel!$Q$1:$T$1,0),2))&lt;&gt;1=TRUE,"ja",""),"")</f>
        <v/>
      </c>
    </row>
    <row r="1243" spans="1:27" ht="15" customHeight="1" x14ac:dyDescent="0.25">
      <c r="A1243" s="85"/>
      <c r="B1243" s="217" t="str">
        <f>IF(A1243&lt;&gt;"",_xlfn.MAXIFS($B$1:B1242,$A$1:A1242,A1243)+1,"")</f>
        <v/>
      </c>
      <c r="C1243" s="50"/>
      <c r="D1243" s="50"/>
      <c r="E1243" s="50"/>
      <c r="F1243" s="50"/>
      <c r="G1243" s="280"/>
      <c r="H1243" s="293"/>
      <c r="I1243" s="292"/>
      <c r="J1243" s="292"/>
      <c r="K1243" s="200"/>
      <c r="L1243" s="200"/>
      <c r="M1243" s="89" t="str">
        <f>IFERROR(VLOOKUP(H1243,Lijsten!$H$1:$I$100,2,0),"")</f>
        <v/>
      </c>
      <c r="N1243" s="89" t="str" cm="1">
        <f t="array" ref="N1243">IFERROR(_xlfn.IFS(AND(LEFT(F1243,6)="Arbeid",RIGHT(F1243,3)&lt;&gt;"IKS"),IFERROR(VLOOKUP($G1243,Tb_KostenTypen[],2,0),"tarief"),RIGHT(F1243,3)="IKS","Uurtarief",LEFT(F1243,6)="Arbeid","Uurtarief",AND(LEFT(F1243,8)="Bijdrage",RIGHT(F1243,15)="(vrijwilligers)"),"Vast tarief"),"")</f>
        <v/>
      </c>
      <c r="O1243" s="90"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0"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1"/>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59"/>
      <c r="Z1243" s="49"/>
      <c r="AA1243" s="37" t="str" cm="1">
        <f t="array" ref="AA1243">IFERROR(IF(INDEX(SubsidieTabel!$Q$1:$T$9,MATCH($F1243,SubsidieTabel!$Q$1:$Q$9,0),IFERROR(MATCH(Methode_Keuze,SubsidieTabel!$Q$1:$T$1,0),2))&lt;&gt;1=TRUE,"ja",""),"")</f>
        <v/>
      </c>
    </row>
    <row r="1244" spans="1:27" ht="15" customHeight="1" x14ac:dyDescent="0.25">
      <c r="A1244" s="85"/>
      <c r="B1244" s="217" t="str">
        <f>IF(A1244&lt;&gt;"",_xlfn.MAXIFS($B$1:B1243,$A$1:A1243,A1244)+1,"")</f>
        <v/>
      </c>
      <c r="C1244" s="50"/>
      <c r="D1244" s="50"/>
      <c r="E1244" s="50"/>
      <c r="F1244" s="50"/>
      <c r="G1244" s="280"/>
      <c r="H1244" s="293"/>
      <c r="I1244" s="292"/>
      <c r="J1244" s="292"/>
      <c r="K1244" s="200"/>
      <c r="L1244" s="200"/>
      <c r="M1244" s="89" t="str">
        <f>IFERROR(VLOOKUP(H1244,Lijsten!$H$1:$I$100,2,0),"")</f>
        <v/>
      </c>
      <c r="N1244" s="89" t="str" cm="1">
        <f t="array" ref="N1244">IFERROR(_xlfn.IFS(AND(LEFT(F1244,6)="Arbeid",RIGHT(F1244,3)&lt;&gt;"IKS"),IFERROR(VLOOKUP($G1244,Tb_KostenTypen[],2,0),"tarief"),RIGHT(F1244,3)="IKS","Uurtarief",LEFT(F1244,6)="Arbeid","Uurtarief",AND(LEFT(F1244,8)="Bijdrage",RIGHT(F1244,15)="(vrijwilligers)"),"Vast tarief"),"")</f>
        <v/>
      </c>
      <c r="O1244" s="90"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0"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1"/>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59"/>
      <c r="Z1244" s="49"/>
      <c r="AA1244" s="37" t="str" cm="1">
        <f t="array" ref="AA1244">IFERROR(IF(INDEX(SubsidieTabel!$Q$1:$T$9,MATCH($F1244,SubsidieTabel!$Q$1:$Q$9,0),IFERROR(MATCH(Methode_Keuze,SubsidieTabel!$Q$1:$T$1,0),2))&lt;&gt;1=TRUE,"ja",""),"")</f>
        <v/>
      </c>
    </row>
    <row r="1245" spans="1:27" ht="15" customHeight="1" x14ac:dyDescent="0.25">
      <c r="A1245" s="85"/>
      <c r="B1245" s="217" t="str">
        <f>IF(A1245&lt;&gt;"",_xlfn.MAXIFS($B$1:B1244,$A$1:A1244,A1245)+1,"")</f>
        <v/>
      </c>
      <c r="C1245" s="50"/>
      <c r="D1245" s="50"/>
      <c r="E1245" s="50"/>
      <c r="F1245" s="50"/>
      <c r="G1245" s="280"/>
      <c r="H1245" s="293"/>
      <c r="I1245" s="292"/>
      <c r="J1245" s="292"/>
      <c r="K1245" s="200"/>
      <c r="L1245" s="200"/>
      <c r="M1245" s="89" t="str">
        <f>IFERROR(VLOOKUP(H1245,Lijsten!$H$1:$I$100,2,0),"")</f>
        <v/>
      </c>
      <c r="N1245" s="89" t="str" cm="1">
        <f t="array" ref="N1245">IFERROR(_xlfn.IFS(AND(LEFT(F1245,6)="Arbeid",RIGHT(F1245,3)&lt;&gt;"IKS"),IFERROR(VLOOKUP($G1245,Tb_KostenTypen[],2,0),"tarief"),RIGHT(F1245,3)="IKS","Uurtarief",LEFT(F1245,6)="Arbeid","Uurtarief",AND(LEFT(F1245,8)="Bijdrage",RIGHT(F1245,15)="(vrijwilligers)"),"Vast tarief"),"")</f>
        <v/>
      </c>
      <c r="O1245" s="90"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0"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1"/>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59"/>
      <c r="Z1245" s="49"/>
      <c r="AA1245" s="37" t="str" cm="1">
        <f t="array" ref="AA1245">IFERROR(IF(INDEX(SubsidieTabel!$Q$1:$T$9,MATCH($F1245,SubsidieTabel!$Q$1:$Q$9,0),IFERROR(MATCH(Methode_Keuze,SubsidieTabel!$Q$1:$T$1,0),2))&lt;&gt;1=TRUE,"ja",""),"")</f>
        <v/>
      </c>
    </row>
    <row r="1246" spans="1:27" ht="15" customHeight="1" x14ac:dyDescent="0.25">
      <c r="A1246" s="85"/>
      <c r="B1246" s="217" t="str">
        <f>IF(A1246&lt;&gt;"",_xlfn.MAXIFS($B$1:B1245,$A$1:A1245,A1246)+1,"")</f>
        <v/>
      </c>
      <c r="C1246" s="50"/>
      <c r="D1246" s="50"/>
      <c r="E1246" s="50"/>
      <c r="F1246" s="50"/>
      <c r="G1246" s="280"/>
      <c r="H1246" s="293"/>
      <c r="I1246" s="292"/>
      <c r="J1246" s="292"/>
      <c r="K1246" s="200"/>
      <c r="L1246" s="200"/>
      <c r="M1246" s="89" t="str">
        <f>IFERROR(VLOOKUP(H1246,Lijsten!$H$1:$I$100,2,0),"")</f>
        <v/>
      </c>
      <c r="N1246" s="89" t="str" cm="1">
        <f t="array" ref="N1246">IFERROR(_xlfn.IFS(AND(LEFT(F1246,6)="Arbeid",RIGHT(F1246,3)&lt;&gt;"IKS"),IFERROR(VLOOKUP($G1246,Tb_KostenTypen[],2,0),"tarief"),RIGHT(F1246,3)="IKS","Uurtarief",LEFT(F1246,6)="Arbeid","Uurtarief",AND(LEFT(F1246,8)="Bijdrage",RIGHT(F1246,15)="(vrijwilligers)"),"Vast tarief"),"")</f>
        <v/>
      </c>
      <c r="O1246" s="90"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0"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1"/>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59"/>
      <c r="Z1246" s="49"/>
      <c r="AA1246" s="37" t="str" cm="1">
        <f t="array" ref="AA1246">IFERROR(IF(INDEX(SubsidieTabel!$Q$1:$T$9,MATCH($F1246,SubsidieTabel!$Q$1:$Q$9,0),IFERROR(MATCH(Methode_Keuze,SubsidieTabel!$Q$1:$T$1,0),2))&lt;&gt;1=TRUE,"ja",""),"")</f>
        <v/>
      </c>
    </row>
    <row r="1247" spans="1:27" ht="15" customHeight="1" x14ac:dyDescent="0.25">
      <c r="A1247" s="85"/>
      <c r="B1247" s="217" t="str">
        <f>IF(A1247&lt;&gt;"",_xlfn.MAXIFS($B$1:B1246,$A$1:A1246,A1247)+1,"")</f>
        <v/>
      </c>
      <c r="C1247" s="50"/>
      <c r="D1247" s="50"/>
      <c r="E1247" s="50"/>
      <c r="F1247" s="50"/>
      <c r="G1247" s="280"/>
      <c r="H1247" s="293"/>
      <c r="I1247" s="292"/>
      <c r="J1247" s="292"/>
      <c r="K1247" s="200"/>
      <c r="L1247" s="200"/>
      <c r="M1247" s="89" t="str">
        <f>IFERROR(VLOOKUP(H1247,Lijsten!$H$1:$I$100,2,0),"")</f>
        <v/>
      </c>
      <c r="N1247" s="89" t="str" cm="1">
        <f t="array" ref="N1247">IFERROR(_xlfn.IFS(AND(LEFT(F1247,6)="Arbeid",RIGHT(F1247,3)&lt;&gt;"IKS"),IFERROR(VLOOKUP($G1247,Tb_KostenTypen[],2,0),"tarief"),RIGHT(F1247,3)="IKS","Uurtarief",LEFT(F1247,6)="Arbeid","Uurtarief",AND(LEFT(F1247,8)="Bijdrage",RIGHT(F1247,15)="(vrijwilligers)"),"Vast tarief"),"")</f>
        <v/>
      </c>
      <c r="O1247" s="90"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0"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1"/>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59"/>
      <c r="Z1247" s="49"/>
      <c r="AA1247" s="37" t="str" cm="1">
        <f t="array" ref="AA1247">IFERROR(IF(INDEX(SubsidieTabel!$Q$1:$T$9,MATCH($F1247,SubsidieTabel!$Q$1:$Q$9,0),IFERROR(MATCH(Methode_Keuze,SubsidieTabel!$Q$1:$T$1,0),2))&lt;&gt;1=TRUE,"ja",""),"")</f>
        <v/>
      </c>
    </row>
    <row r="1248" spans="1:27" ht="15" customHeight="1" x14ac:dyDescent="0.25">
      <c r="A1248" s="85"/>
      <c r="B1248" s="217" t="str">
        <f>IF(A1248&lt;&gt;"",_xlfn.MAXIFS($B$1:B1247,$A$1:A1247,A1248)+1,"")</f>
        <v/>
      </c>
      <c r="C1248" s="50"/>
      <c r="D1248" s="50"/>
      <c r="E1248" s="50"/>
      <c r="F1248" s="50"/>
      <c r="G1248" s="280"/>
      <c r="H1248" s="293"/>
      <c r="I1248" s="292"/>
      <c r="J1248" s="292"/>
      <c r="K1248" s="200"/>
      <c r="L1248" s="200"/>
      <c r="M1248" s="89" t="str">
        <f>IFERROR(VLOOKUP(H1248,Lijsten!$H$1:$I$100,2,0),"")</f>
        <v/>
      </c>
      <c r="N1248" s="89" t="str" cm="1">
        <f t="array" ref="N1248">IFERROR(_xlfn.IFS(AND(LEFT(F1248,6)="Arbeid",RIGHT(F1248,3)&lt;&gt;"IKS"),IFERROR(VLOOKUP($G1248,Tb_KostenTypen[],2,0),"tarief"),RIGHT(F1248,3)="IKS","Uurtarief",LEFT(F1248,6)="Arbeid","Uurtarief",AND(LEFT(F1248,8)="Bijdrage",RIGHT(F1248,15)="(vrijwilligers)"),"Vast tarief"),"")</f>
        <v/>
      </c>
      <c r="O1248" s="90"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0"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1"/>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59"/>
      <c r="Z1248" s="49"/>
      <c r="AA1248" s="37" t="str" cm="1">
        <f t="array" ref="AA1248">IFERROR(IF(INDEX(SubsidieTabel!$Q$1:$T$9,MATCH($F1248,SubsidieTabel!$Q$1:$Q$9,0),IFERROR(MATCH(Methode_Keuze,SubsidieTabel!$Q$1:$T$1,0),2))&lt;&gt;1=TRUE,"ja",""),"")</f>
        <v/>
      </c>
    </row>
    <row r="1249" spans="1:27" ht="15" customHeight="1" x14ac:dyDescent="0.25">
      <c r="A1249" s="85"/>
      <c r="B1249" s="217" t="str">
        <f>IF(A1249&lt;&gt;"",_xlfn.MAXIFS($B$1:B1248,$A$1:A1248,A1249)+1,"")</f>
        <v/>
      </c>
      <c r="C1249" s="50"/>
      <c r="D1249" s="50"/>
      <c r="E1249" s="50"/>
      <c r="F1249" s="50"/>
      <c r="G1249" s="280"/>
      <c r="H1249" s="293"/>
      <c r="I1249" s="292"/>
      <c r="J1249" s="292"/>
      <c r="K1249" s="200"/>
      <c r="L1249" s="200"/>
      <c r="M1249" s="89" t="str">
        <f>IFERROR(VLOOKUP(H1249,Lijsten!$H$1:$I$100,2,0),"")</f>
        <v/>
      </c>
      <c r="N1249" s="89" t="str" cm="1">
        <f t="array" ref="N1249">IFERROR(_xlfn.IFS(AND(LEFT(F1249,6)="Arbeid",RIGHT(F1249,3)&lt;&gt;"IKS"),IFERROR(VLOOKUP($G1249,Tb_KostenTypen[],2,0),"tarief"),RIGHT(F1249,3)="IKS","Uurtarief",LEFT(F1249,6)="Arbeid","Uurtarief",AND(LEFT(F1249,8)="Bijdrage",RIGHT(F1249,15)="(vrijwilligers)"),"Vast tarief"),"")</f>
        <v/>
      </c>
      <c r="O1249" s="90"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0"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1"/>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59"/>
      <c r="Z1249" s="49"/>
      <c r="AA1249" s="37" t="str" cm="1">
        <f t="array" ref="AA1249">IFERROR(IF(INDEX(SubsidieTabel!$Q$1:$T$9,MATCH($F1249,SubsidieTabel!$Q$1:$Q$9,0),IFERROR(MATCH(Methode_Keuze,SubsidieTabel!$Q$1:$T$1,0),2))&lt;&gt;1=TRUE,"ja",""),"")</f>
        <v/>
      </c>
    </row>
    <row r="1250" spans="1:27" ht="15" customHeight="1" x14ac:dyDescent="0.25">
      <c r="A1250" s="85"/>
      <c r="B1250" s="217" t="str">
        <f>IF(A1250&lt;&gt;"",_xlfn.MAXIFS($B$1:B1249,$A$1:A1249,A1250)+1,"")</f>
        <v/>
      </c>
      <c r="C1250" s="50"/>
      <c r="D1250" s="50"/>
      <c r="E1250" s="50"/>
      <c r="F1250" s="50"/>
      <c r="G1250" s="280"/>
      <c r="H1250" s="293"/>
      <c r="I1250" s="292"/>
      <c r="J1250" s="292"/>
      <c r="K1250" s="200"/>
      <c r="L1250" s="200"/>
      <c r="M1250" s="89" t="str">
        <f>IFERROR(VLOOKUP(H1250,Lijsten!$H$1:$I$100,2,0),"")</f>
        <v/>
      </c>
      <c r="N1250" s="89" t="str" cm="1">
        <f t="array" ref="N1250">IFERROR(_xlfn.IFS(AND(LEFT(F1250,6)="Arbeid",RIGHT(F1250,3)&lt;&gt;"IKS"),IFERROR(VLOOKUP($G1250,Tb_KostenTypen[],2,0),"tarief"),RIGHT(F1250,3)="IKS","Uurtarief",LEFT(F1250,6)="Arbeid","Uurtarief",AND(LEFT(F1250,8)="Bijdrage",RIGHT(F1250,15)="(vrijwilligers)"),"Vast tarief"),"")</f>
        <v/>
      </c>
      <c r="O1250" s="90"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0"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1"/>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59"/>
      <c r="Z1250" s="49"/>
      <c r="AA1250" s="37" t="str" cm="1">
        <f t="array" ref="AA1250">IFERROR(IF(INDEX(SubsidieTabel!$Q$1:$T$9,MATCH($F1250,SubsidieTabel!$Q$1:$Q$9,0),IFERROR(MATCH(Methode_Keuze,SubsidieTabel!$Q$1:$T$1,0),2))&lt;&gt;1=TRUE,"ja",""),"")</f>
        <v/>
      </c>
    </row>
    <row r="1251" spans="1:27" ht="15" customHeight="1" x14ac:dyDescent="0.25">
      <c r="A1251" s="85"/>
      <c r="B1251" s="217" t="str">
        <f>IF(A1251&lt;&gt;"",_xlfn.MAXIFS($B$1:B1250,$A$1:A1250,A1251)+1,"")</f>
        <v/>
      </c>
      <c r="C1251" s="50"/>
      <c r="D1251" s="50"/>
      <c r="E1251" s="50"/>
      <c r="F1251" s="50"/>
      <c r="G1251" s="280"/>
      <c r="H1251" s="293"/>
      <c r="I1251" s="292"/>
      <c r="J1251" s="292"/>
      <c r="K1251" s="200"/>
      <c r="L1251" s="200"/>
      <c r="M1251" s="89" t="str">
        <f>IFERROR(VLOOKUP(H1251,Lijsten!$H$1:$I$100,2,0),"")</f>
        <v/>
      </c>
      <c r="N1251" s="89" t="str" cm="1">
        <f t="array" ref="N1251">IFERROR(_xlfn.IFS(AND(LEFT(F1251,6)="Arbeid",RIGHT(F1251,3)&lt;&gt;"IKS"),IFERROR(VLOOKUP($G1251,Tb_KostenTypen[],2,0),"tarief"),RIGHT(F1251,3)="IKS","Uurtarief",LEFT(F1251,6)="Arbeid","Uurtarief",AND(LEFT(F1251,8)="Bijdrage",RIGHT(F1251,15)="(vrijwilligers)"),"Vast tarief"),"")</f>
        <v/>
      </c>
      <c r="O1251" s="90"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0"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1"/>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59"/>
      <c r="Z1251" s="49"/>
      <c r="AA1251" s="37" t="str" cm="1">
        <f t="array" ref="AA1251">IFERROR(IF(INDEX(SubsidieTabel!$Q$1:$T$9,MATCH($F1251,SubsidieTabel!$Q$1:$Q$9,0),IFERROR(MATCH(Methode_Keuze,SubsidieTabel!$Q$1:$T$1,0),2))&lt;&gt;1=TRUE,"ja",""),"")</f>
        <v/>
      </c>
    </row>
    <row r="1252" spans="1:27" ht="15" customHeight="1" x14ac:dyDescent="0.25">
      <c r="A1252" s="85"/>
      <c r="B1252" s="217" t="str">
        <f>IF(A1252&lt;&gt;"",_xlfn.MAXIFS($B$1:B1251,$A$1:A1251,A1252)+1,"")</f>
        <v/>
      </c>
      <c r="C1252" s="50"/>
      <c r="D1252" s="50"/>
      <c r="E1252" s="50"/>
      <c r="F1252" s="50"/>
      <c r="G1252" s="280"/>
      <c r="H1252" s="293"/>
      <c r="I1252" s="292"/>
      <c r="J1252" s="292"/>
      <c r="K1252" s="200"/>
      <c r="L1252" s="200"/>
      <c r="M1252" s="89" t="str">
        <f>IFERROR(VLOOKUP(H1252,Lijsten!$H$1:$I$100,2,0),"")</f>
        <v/>
      </c>
      <c r="N1252" s="89" t="str" cm="1">
        <f t="array" ref="N1252">IFERROR(_xlfn.IFS(AND(LEFT(F1252,6)="Arbeid",RIGHT(F1252,3)&lt;&gt;"IKS"),IFERROR(VLOOKUP($G1252,Tb_KostenTypen[],2,0),"tarief"),RIGHT(F1252,3)="IKS","Uurtarief",LEFT(F1252,6)="Arbeid","Uurtarief",AND(LEFT(F1252,8)="Bijdrage",RIGHT(F1252,15)="(vrijwilligers)"),"Vast tarief"),"")</f>
        <v/>
      </c>
      <c r="O1252" s="90"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0"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1"/>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59"/>
      <c r="Z1252" s="49"/>
      <c r="AA1252" s="37" t="str" cm="1">
        <f t="array" ref="AA1252">IFERROR(IF(INDEX(SubsidieTabel!$Q$1:$T$9,MATCH($F1252,SubsidieTabel!$Q$1:$Q$9,0),IFERROR(MATCH(Methode_Keuze,SubsidieTabel!$Q$1:$T$1,0),2))&lt;&gt;1=TRUE,"ja",""),"")</f>
        <v/>
      </c>
    </row>
    <row r="1253" spans="1:27" ht="15" customHeight="1" x14ac:dyDescent="0.25">
      <c r="A1253" s="85"/>
      <c r="B1253" s="217" t="str">
        <f>IF(A1253&lt;&gt;"",_xlfn.MAXIFS($B$1:B1252,$A$1:A1252,A1253)+1,"")</f>
        <v/>
      </c>
      <c r="C1253" s="50"/>
      <c r="D1253" s="50"/>
      <c r="E1253" s="50"/>
      <c r="F1253" s="50"/>
      <c r="G1253" s="280"/>
      <c r="H1253" s="293"/>
      <c r="I1253" s="292"/>
      <c r="J1253" s="292"/>
      <c r="K1253" s="200"/>
      <c r="L1253" s="200"/>
      <c r="M1253" s="89" t="str">
        <f>IFERROR(VLOOKUP(H1253,Lijsten!$H$1:$I$100,2,0),"")</f>
        <v/>
      </c>
      <c r="N1253" s="89" t="str" cm="1">
        <f t="array" ref="N1253">IFERROR(_xlfn.IFS(AND(LEFT(F1253,6)="Arbeid",RIGHT(F1253,3)&lt;&gt;"IKS"),IFERROR(VLOOKUP($G1253,Tb_KostenTypen[],2,0),"tarief"),RIGHT(F1253,3)="IKS","Uurtarief",LEFT(F1253,6)="Arbeid","Uurtarief",AND(LEFT(F1253,8)="Bijdrage",RIGHT(F1253,15)="(vrijwilligers)"),"Vast tarief"),"")</f>
        <v/>
      </c>
      <c r="O1253" s="90"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0"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1"/>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59"/>
      <c r="Z1253" s="49"/>
      <c r="AA1253" s="37" t="str" cm="1">
        <f t="array" ref="AA1253">IFERROR(IF(INDEX(SubsidieTabel!$Q$1:$T$9,MATCH($F1253,SubsidieTabel!$Q$1:$Q$9,0),IFERROR(MATCH(Methode_Keuze,SubsidieTabel!$Q$1:$T$1,0),2))&lt;&gt;1=TRUE,"ja",""),"")</f>
        <v/>
      </c>
    </row>
    <row r="1254" spans="1:27" ht="15" customHeight="1" x14ac:dyDescent="0.25">
      <c r="A1254" s="85"/>
      <c r="B1254" s="217" t="str">
        <f>IF(A1254&lt;&gt;"",_xlfn.MAXIFS($B$1:B1253,$A$1:A1253,A1254)+1,"")</f>
        <v/>
      </c>
      <c r="C1254" s="50"/>
      <c r="D1254" s="50"/>
      <c r="E1254" s="50"/>
      <c r="F1254" s="50"/>
      <c r="G1254" s="280"/>
      <c r="H1254" s="293"/>
      <c r="I1254" s="292"/>
      <c r="J1254" s="292"/>
      <c r="K1254" s="200"/>
      <c r="L1254" s="200"/>
      <c r="M1254" s="89" t="str">
        <f>IFERROR(VLOOKUP(H1254,Lijsten!$H$1:$I$100,2,0),"")</f>
        <v/>
      </c>
      <c r="N1254" s="89" t="str" cm="1">
        <f t="array" ref="N1254">IFERROR(_xlfn.IFS(AND(LEFT(F1254,6)="Arbeid",RIGHT(F1254,3)&lt;&gt;"IKS"),IFERROR(VLOOKUP($G1254,Tb_KostenTypen[],2,0),"tarief"),RIGHT(F1254,3)="IKS","Uurtarief",LEFT(F1254,6)="Arbeid","Uurtarief",AND(LEFT(F1254,8)="Bijdrage",RIGHT(F1254,15)="(vrijwilligers)"),"Vast tarief"),"")</f>
        <v/>
      </c>
      <c r="O1254" s="90"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0"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1"/>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59"/>
      <c r="Z1254" s="49"/>
      <c r="AA1254" s="37" t="str" cm="1">
        <f t="array" ref="AA1254">IFERROR(IF(INDEX(SubsidieTabel!$Q$1:$T$9,MATCH($F1254,SubsidieTabel!$Q$1:$Q$9,0),IFERROR(MATCH(Methode_Keuze,SubsidieTabel!$Q$1:$T$1,0),2))&lt;&gt;1=TRUE,"ja",""),"")</f>
        <v/>
      </c>
    </row>
    <row r="1255" spans="1:27" ht="15" customHeight="1" x14ac:dyDescent="0.25">
      <c r="A1255" s="85"/>
      <c r="B1255" s="217" t="str">
        <f>IF(A1255&lt;&gt;"",_xlfn.MAXIFS($B$1:B1254,$A$1:A1254,A1255)+1,"")</f>
        <v/>
      </c>
      <c r="C1255" s="50"/>
      <c r="D1255" s="50"/>
      <c r="E1255" s="50"/>
      <c r="F1255" s="50"/>
      <c r="G1255" s="280"/>
      <c r="H1255" s="293"/>
      <c r="I1255" s="292"/>
      <c r="J1255" s="292"/>
      <c r="K1255" s="200"/>
      <c r="L1255" s="200"/>
      <c r="M1255" s="89" t="str">
        <f>IFERROR(VLOOKUP(H1255,Lijsten!$H$1:$I$100,2,0),"")</f>
        <v/>
      </c>
      <c r="N1255" s="89" t="str" cm="1">
        <f t="array" ref="N1255">IFERROR(_xlfn.IFS(AND(LEFT(F1255,6)="Arbeid",RIGHT(F1255,3)&lt;&gt;"IKS"),IFERROR(VLOOKUP($G1255,Tb_KostenTypen[],2,0),"tarief"),RIGHT(F1255,3)="IKS","Uurtarief",LEFT(F1255,6)="Arbeid","Uurtarief",AND(LEFT(F1255,8)="Bijdrage",RIGHT(F1255,15)="(vrijwilligers)"),"Vast tarief"),"")</f>
        <v/>
      </c>
      <c r="O1255" s="90"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0"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1"/>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59"/>
      <c r="Z1255" s="49"/>
      <c r="AA1255" s="37" t="str" cm="1">
        <f t="array" ref="AA1255">IFERROR(IF(INDEX(SubsidieTabel!$Q$1:$T$9,MATCH($F1255,SubsidieTabel!$Q$1:$Q$9,0),IFERROR(MATCH(Methode_Keuze,SubsidieTabel!$Q$1:$T$1,0),2))&lt;&gt;1=TRUE,"ja",""),"")</f>
        <v/>
      </c>
    </row>
    <row r="1256" spans="1:27" ht="15" customHeight="1" x14ac:dyDescent="0.25">
      <c r="A1256" s="85"/>
      <c r="B1256" s="217" t="str">
        <f>IF(A1256&lt;&gt;"",_xlfn.MAXIFS($B$1:B1255,$A$1:A1255,A1256)+1,"")</f>
        <v/>
      </c>
      <c r="C1256" s="50"/>
      <c r="D1256" s="50"/>
      <c r="E1256" s="50"/>
      <c r="F1256" s="50"/>
      <c r="G1256" s="280"/>
      <c r="H1256" s="293"/>
      <c r="I1256" s="292"/>
      <c r="J1256" s="292"/>
      <c r="K1256" s="200"/>
      <c r="L1256" s="200"/>
      <c r="M1256" s="89" t="str">
        <f>IFERROR(VLOOKUP(H1256,Lijsten!$H$1:$I$100,2,0),"")</f>
        <v/>
      </c>
      <c r="N1256" s="89" t="str" cm="1">
        <f t="array" ref="N1256">IFERROR(_xlfn.IFS(AND(LEFT(F1256,6)="Arbeid",RIGHT(F1256,3)&lt;&gt;"IKS"),IFERROR(VLOOKUP($G1256,Tb_KostenTypen[],2,0),"tarief"),RIGHT(F1256,3)="IKS","Uurtarief",LEFT(F1256,6)="Arbeid","Uurtarief",AND(LEFT(F1256,8)="Bijdrage",RIGHT(F1256,15)="(vrijwilligers)"),"Vast tarief"),"")</f>
        <v/>
      </c>
      <c r="O1256" s="90"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0"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1"/>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59"/>
      <c r="Z1256" s="49"/>
      <c r="AA1256" s="37" t="str" cm="1">
        <f t="array" ref="AA1256">IFERROR(IF(INDEX(SubsidieTabel!$Q$1:$T$9,MATCH($F1256,SubsidieTabel!$Q$1:$Q$9,0),IFERROR(MATCH(Methode_Keuze,SubsidieTabel!$Q$1:$T$1,0),2))&lt;&gt;1=TRUE,"ja",""),"")</f>
        <v/>
      </c>
    </row>
    <row r="1257" spans="1:27" ht="15" customHeight="1" x14ac:dyDescent="0.25">
      <c r="A1257" s="85"/>
      <c r="B1257" s="217" t="str">
        <f>IF(A1257&lt;&gt;"",_xlfn.MAXIFS($B$1:B1256,$A$1:A1256,A1257)+1,"")</f>
        <v/>
      </c>
      <c r="C1257" s="50"/>
      <c r="D1257" s="50"/>
      <c r="E1257" s="50"/>
      <c r="F1257" s="50"/>
      <c r="G1257" s="280"/>
      <c r="H1257" s="293"/>
      <c r="I1257" s="292"/>
      <c r="J1257" s="292"/>
      <c r="K1257" s="200"/>
      <c r="L1257" s="200"/>
      <c r="M1257" s="89" t="str">
        <f>IFERROR(VLOOKUP(H1257,Lijsten!$H$1:$I$100,2,0),"")</f>
        <v/>
      </c>
      <c r="N1257" s="89" t="str" cm="1">
        <f t="array" ref="N1257">IFERROR(_xlfn.IFS(AND(LEFT(F1257,6)="Arbeid",RIGHT(F1257,3)&lt;&gt;"IKS"),IFERROR(VLOOKUP($G1257,Tb_KostenTypen[],2,0),"tarief"),RIGHT(F1257,3)="IKS","Uurtarief",LEFT(F1257,6)="Arbeid","Uurtarief",AND(LEFT(F1257,8)="Bijdrage",RIGHT(F1257,15)="(vrijwilligers)"),"Vast tarief"),"")</f>
        <v/>
      </c>
      <c r="O1257" s="90"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0"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1"/>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59"/>
      <c r="Z1257" s="49"/>
      <c r="AA1257" s="37" t="str" cm="1">
        <f t="array" ref="AA1257">IFERROR(IF(INDEX(SubsidieTabel!$Q$1:$T$9,MATCH($F1257,SubsidieTabel!$Q$1:$Q$9,0),IFERROR(MATCH(Methode_Keuze,SubsidieTabel!$Q$1:$T$1,0),2))&lt;&gt;1=TRUE,"ja",""),"")</f>
        <v/>
      </c>
    </row>
    <row r="1258" spans="1:27" ht="15" customHeight="1" x14ac:dyDescent="0.25">
      <c r="A1258" s="85"/>
      <c r="B1258" s="217" t="str">
        <f>IF(A1258&lt;&gt;"",_xlfn.MAXIFS($B$1:B1257,$A$1:A1257,A1258)+1,"")</f>
        <v/>
      </c>
      <c r="C1258" s="50"/>
      <c r="D1258" s="50"/>
      <c r="E1258" s="50"/>
      <c r="F1258" s="50"/>
      <c r="G1258" s="280"/>
      <c r="H1258" s="293"/>
      <c r="I1258" s="292"/>
      <c r="J1258" s="292"/>
      <c r="K1258" s="200"/>
      <c r="L1258" s="200"/>
      <c r="M1258" s="89" t="str">
        <f>IFERROR(VLOOKUP(H1258,Lijsten!$H$1:$I$100,2,0),"")</f>
        <v/>
      </c>
      <c r="N1258" s="89" t="str" cm="1">
        <f t="array" ref="N1258">IFERROR(_xlfn.IFS(AND(LEFT(F1258,6)="Arbeid",RIGHT(F1258,3)&lt;&gt;"IKS"),IFERROR(VLOOKUP($G1258,Tb_KostenTypen[],2,0),"tarief"),RIGHT(F1258,3)="IKS","Uurtarief",LEFT(F1258,6)="Arbeid","Uurtarief",AND(LEFT(F1258,8)="Bijdrage",RIGHT(F1258,15)="(vrijwilligers)"),"Vast tarief"),"")</f>
        <v/>
      </c>
      <c r="O1258" s="90"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0"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1"/>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59"/>
      <c r="Z1258" s="49"/>
      <c r="AA1258" s="37" t="str" cm="1">
        <f t="array" ref="AA1258">IFERROR(IF(INDEX(SubsidieTabel!$Q$1:$T$9,MATCH($F1258,SubsidieTabel!$Q$1:$Q$9,0),IFERROR(MATCH(Methode_Keuze,SubsidieTabel!$Q$1:$T$1,0),2))&lt;&gt;1=TRUE,"ja",""),"")</f>
        <v/>
      </c>
    </row>
    <row r="1259" spans="1:27" ht="15" customHeight="1" x14ac:dyDescent="0.25">
      <c r="A1259" s="85"/>
      <c r="B1259" s="217" t="str">
        <f>IF(A1259&lt;&gt;"",_xlfn.MAXIFS($B$1:B1258,$A$1:A1258,A1259)+1,"")</f>
        <v/>
      </c>
      <c r="C1259" s="50"/>
      <c r="D1259" s="50"/>
      <c r="E1259" s="50"/>
      <c r="F1259" s="50"/>
      <c r="G1259" s="280"/>
      <c r="H1259" s="293"/>
      <c r="I1259" s="292"/>
      <c r="J1259" s="292"/>
      <c r="K1259" s="200"/>
      <c r="L1259" s="200"/>
      <c r="M1259" s="89" t="str">
        <f>IFERROR(VLOOKUP(H1259,Lijsten!$H$1:$I$100,2,0),"")</f>
        <v/>
      </c>
      <c r="N1259" s="89" t="str" cm="1">
        <f t="array" ref="N1259">IFERROR(_xlfn.IFS(AND(LEFT(F1259,6)="Arbeid",RIGHT(F1259,3)&lt;&gt;"IKS"),IFERROR(VLOOKUP($G1259,Tb_KostenTypen[],2,0),"tarief"),RIGHT(F1259,3)="IKS","Uurtarief",LEFT(F1259,6)="Arbeid","Uurtarief",AND(LEFT(F1259,8)="Bijdrage",RIGHT(F1259,15)="(vrijwilligers)"),"Vast tarief"),"")</f>
        <v/>
      </c>
      <c r="O1259" s="90"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0"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1"/>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59"/>
      <c r="Z1259" s="49"/>
      <c r="AA1259" s="37" t="str" cm="1">
        <f t="array" ref="AA1259">IFERROR(IF(INDEX(SubsidieTabel!$Q$1:$T$9,MATCH($F1259,SubsidieTabel!$Q$1:$Q$9,0),IFERROR(MATCH(Methode_Keuze,SubsidieTabel!$Q$1:$T$1,0),2))&lt;&gt;1=TRUE,"ja",""),"")</f>
        <v/>
      </c>
    </row>
    <row r="1260" spans="1:27" ht="15" customHeight="1" x14ac:dyDescent="0.25">
      <c r="A1260" s="85"/>
      <c r="B1260" s="217" t="str">
        <f>IF(A1260&lt;&gt;"",_xlfn.MAXIFS($B$1:B1259,$A$1:A1259,A1260)+1,"")</f>
        <v/>
      </c>
      <c r="C1260" s="50"/>
      <c r="D1260" s="50"/>
      <c r="E1260" s="50"/>
      <c r="F1260" s="50"/>
      <c r="G1260" s="280"/>
      <c r="H1260" s="293"/>
      <c r="I1260" s="292"/>
      <c r="J1260" s="292"/>
      <c r="K1260" s="200"/>
      <c r="L1260" s="200"/>
      <c r="M1260" s="89" t="str">
        <f>IFERROR(VLOOKUP(H1260,Lijsten!$H$1:$I$100,2,0),"")</f>
        <v/>
      </c>
      <c r="N1260" s="89" t="str" cm="1">
        <f t="array" ref="N1260">IFERROR(_xlfn.IFS(AND(LEFT(F1260,6)="Arbeid",RIGHT(F1260,3)&lt;&gt;"IKS"),IFERROR(VLOOKUP($G1260,Tb_KostenTypen[],2,0),"tarief"),RIGHT(F1260,3)="IKS","Uurtarief",LEFT(F1260,6)="Arbeid","Uurtarief",AND(LEFT(F1260,8)="Bijdrage",RIGHT(F1260,15)="(vrijwilligers)"),"Vast tarief"),"")</f>
        <v/>
      </c>
      <c r="O1260" s="90"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0"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1"/>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59"/>
      <c r="Z1260" s="49"/>
      <c r="AA1260" s="37" t="str" cm="1">
        <f t="array" ref="AA1260">IFERROR(IF(INDEX(SubsidieTabel!$Q$1:$T$9,MATCH($F1260,SubsidieTabel!$Q$1:$Q$9,0),IFERROR(MATCH(Methode_Keuze,SubsidieTabel!$Q$1:$T$1,0),2))&lt;&gt;1=TRUE,"ja",""),"")</f>
        <v/>
      </c>
    </row>
    <row r="1261" spans="1:27" ht="15" customHeight="1" x14ac:dyDescent="0.25">
      <c r="A1261" s="85"/>
      <c r="B1261" s="217" t="str">
        <f>IF(A1261&lt;&gt;"",_xlfn.MAXIFS($B$1:B1260,$A$1:A1260,A1261)+1,"")</f>
        <v/>
      </c>
      <c r="C1261" s="50"/>
      <c r="D1261" s="50"/>
      <c r="E1261" s="50"/>
      <c r="F1261" s="50"/>
      <c r="G1261" s="280"/>
      <c r="H1261" s="293"/>
      <c r="I1261" s="292"/>
      <c r="J1261" s="292"/>
      <c r="K1261" s="200"/>
      <c r="L1261" s="200"/>
      <c r="M1261" s="89" t="str">
        <f>IFERROR(VLOOKUP(H1261,Lijsten!$H$1:$I$100,2,0),"")</f>
        <v/>
      </c>
      <c r="N1261" s="89" t="str" cm="1">
        <f t="array" ref="N1261">IFERROR(_xlfn.IFS(AND(LEFT(F1261,6)="Arbeid",RIGHT(F1261,3)&lt;&gt;"IKS"),IFERROR(VLOOKUP($G1261,Tb_KostenTypen[],2,0),"tarief"),RIGHT(F1261,3)="IKS","Uurtarief",LEFT(F1261,6)="Arbeid","Uurtarief",AND(LEFT(F1261,8)="Bijdrage",RIGHT(F1261,15)="(vrijwilligers)"),"Vast tarief"),"")</f>
        <v/>
      </c>
      <c r="O1261" s="90"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0"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1"/>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59"/>
      <c r="Z1261" s="49"/>
      <c r="AA1261" s="37" t="str" cm="1">
        <f t="array" ref="AA1261">IFERROR(IF(INDEX(SubsidieTabel!$Q$1:$T$9,MATCH($F1261,SubsidieTabel!$Q$1:$Q$9,0),IFERROR(MATCH(Methode_Keuze,SubsidieTabel!$Q$1:$T$1,0),2))&lt;&gt;1=TRUE,"ja",""),"")</f>
        <v/>
      </c>
    </row>
    <row r="1262" spans="1:27" ht="15" customHeight="1" x14ac:dyDescent="0.25">
      <c r="A1262" s="85"/>
      <c r="B1262" s="217" t="str">
        <f>IF(A1262&lt;&gt;"",_xlfn.MAXIFS($B$1:B1261,$A$1:A1261,A1262)+1,"")</f>
        <v/>
      </c>
      <c r="C1262" s="50"/>
      <c r="D1262" s="50"/>
      <c r="E1262" s="50"/>
      <c r="F1262" s="50"/>
      <c r="G1262" s="280"/>
      <c r="H1262" s="293"/>
      <c r="I1262" s="292"/>
      <c r="J1262" s="292"/>
      <c r="K1262" s="200"/>
      <c r="L1262" s="200"/>
      <c r="M1262" s="89" t="str">
        <f>IFERROR(VLOOKUP(H1262,Lijsten!$H$1:$I$100,2,0),"")</f>
        <v/>
      </c>
      <c r="N1262" s="89" t="str" cm="1">
        <f t="array" ref="N1262">IFERROR(_xlfn.IFS(AND(LEFT(F1262,6)="Arbeid",RIGHT(F1262,3)&lt;&gt;"IKS"),IFERROR(VLOOKUP($G1262,Tb_KostenTypen[],2,0),"tarief"),RIGHT(F1262,3)="IKS","Uurtarief",LEFT(F1262,6)="Arbeid","Uurtarief",AND(LEFT(F1262,8)="Bijdrage",RIGHT(F1262,15)="(vrijwilligers)"),"Vast tarief"),"")</f>
        <v/>
      </c>
      <c r="O1262" s="90"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0"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1"/>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59"/>
      <c r="Z1262" s="49"/>
      <c r="AA1262" s="37" t="str" cm="1">
        <f t="array" ref="AA1262">IFERROR(IF(INDEX(SubsidieTabel!$Q$1:$T$9,MATCH($F1262,SubsidieTabel!$Q$1:$Q$9,0),IFERROR(MATCH(Methode_Keuze,SubsidieTabel!$Q$1:$T$1,0),2))&lt;&gt;1=TRUE,"ja",""),"")</f>
        <v/>
      </c>
    </row>
    <row r="1263" spans="1:27" ht="15" customHeight="1" x14ac:dyDescent="0.25">
      <c r="A1263" s="85"/>
      <c r="B1263" s="217" t="str">
        <f>IF(A1263&lt;&gt;"",_xlfn.MAXIFS($B$1:B1262,$A$1:A1262,A1263)+1,"")</f>
        <v/>
      </c>
      <c r="C1263" s="50"/>
      <c r="D1263" s="50"/>
      <c r="E1263" s="50"/>
      <c r="F1263" s="50"/>
      <c r="G1263" s="280"/>
      <c r="H1263" s="293"/>
      <c r="I1263" s="292"/>
      <c r="J1263" s="292"/>
      <c r="K1263" s="200"/>
      <c r="L1263" s="200"/>
      <c r="M1263" s="89" t="str">
        <f>IFERROR(VLOOKUP(H1263,Lijsten!$H$1:$I$100,2,0),"")</f>
        <v/>
      </c>
      <c r="N1263" s="89" t="str" cm="1">
        <f t="array" ref="N1263">IFERROR(_xlfn.IFS(AND(LEFT(F1263,6)="Arbeid",RIGHT(F1263,3)&lt;&gt;"IKS"),IFERROR(VLOOKUP($G1263,Tb_KostenTypen[],2,0),"tarief"),RIGHT(F1263,3)="IKS","Uurtarief",LEFT(F1263,6)="Arbeid","Uurtarief",AND(LEFT(F1263,8)="Bijdrage",RIGHT(F1263,15)="(vrijwilligers)"),"Vast tarief"),"")</f>
        <v/>
      </c>
      <c r="O1263" s="90"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0"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1"/>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59"/>
      <c r="Z1263" s="49"/>
      <c r="AA1263" s="37" t="str" cm="1">
        <f t="array" ref="AA1263">IFERROR(IF(INDEX(SubsidieTabel!$Q$1:$T$9,MATCH($F1263,SubsidieTabel!$Q$1:$Q$9,0),IFERROR(MATCH(Methode_Keuze,SubsidieTabel!$Q$1:$T$1,0),2))&lt;&gt;1=TRUE,"ja",""),"")</f>
        <v/>
      </c>
    </row>
    <row r="1264" spans="1:27" ht="15" customHeight="1" x14ac:dyDescent="0.25">
      <c r="A1264" s="85"/>
      <c r="B1264" s="217" t="str">
        <f>IF(A1264&lt;&gt;"",_xlfn.MAXIFS($B$1:B1263,$A$1:A1263,A1264)+1,"")</f>
        <v/>
      </c>
      <c r="C1264" s="50"/>
      <c r="D1264" s="50"/>
      <c r="E1264" s="50"/>
      <c r="F1264" s="50"/>
      <c r="G1264" s="280"/>
      <c r="H1264" s="293"/>
      <c r="I1264" s="292"/>
      <c r="J1264" s="292"/>
      <c r="K1264" s="200"/>
      <c r="L1264" s="200"/>
      <c r="M1264" s="89" t="str">
        <f>IFERROR(VLOOKUP(H1264,Lijsten!$H$1:$I$100,2,0),"")</f>
        <v/>
      </c>
      <c r="N1264" s="89" t="str" cm="1">
        <f t="array" ref="N1264">IFERROR(_xlfn.IFS(AND(LEFT(F1264,6)="Arbeid",RIGHT(F1264,3)&lt;&gt;"IKS"),IFERROR(VLOOKUP($G1264,Tb_KostenTypen[],2,0),"tarief"),RIGHT(F1264,3)="IKS","Uurtarief",LEFT(F1264,6)="Arbeid","Uurtarief",AND(LEFT(F1264,8)="Bijdrage",RIGHT(F1264,15)="(vrijwilligers)"),"Vast tarief"),"")</f>
        <v/>
      </c>
      <c r="O1264" s="90"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0"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1"/>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59"/>
      <c r="Z1264" s="49"/>
      <c r="AA1264" s="37" t="str" cm="1">
        <f t="array" ref="AA1264">IFERROR(IF(INDEX(SubsidieTabel!$Q$1:$T$9,MATCH($F1264,SubsidieTabel!$Q$1:$Q$9,0),IFERROR(MATCH(Methode_Keuze,SubsidieTabel!$Q$1:$T$1,0),2))&lt;&gt;1=TRUE,"ja",""),"")</f>
        <v/>
      </c>
    </row>
    <row r="1265" spans="1:27" ht="15" customHeight="1" x14ac:dyDescent="0.25">
      <c r="A1265" s="85"/>
      <c r="B1265" s="217" t="str">
        <f>IF(A1265&lt;&gt;"",_xlfn.MAXIFS($B$1:B1264,$A$1:A1264,A1265)+1,"")</f>
        <v/>
      </c>
      <c r="C1265" s="50"/>
      <c r="D1265" s="50"/>
      <c r="E1265" s="50"/>
      <c r="F1265" s="50"/>
      <c r="G1265" s="280"/>
      <c r="H1265" s="293"/>
      <c r="I1265" s="292"/>
      <c r="J1265" s="292"/>
      <c r="K1265" s="200"/>
      <c r="L1265" s="200"/>
      <c r="M1265" s="89" t="str">
        <f>IFERROR(VLOOKUP(H1265,Lijsten!$H$1:$I$100,2,0),"")</f>
        <v/>
      </c>
      <c r="N1265" s="89" t="str" cm="1">
        <f t="array" ref="N1265">IFERROR(_xlfn.IFS(AND(LEFT(F1265,6)="Arbeid",RIGHT(F1265,3)&lt;&gt;"IKS"),IFERROR(VLOOKUP($G1265,Tb_KostenTypen[],2,0),"tarief"),RIGHT(F1265,3)="IKS","Uurtarief",LEFT(F1265,6)="Arbeid","Uurtarief",AND(LEFT(F1265,8)="Bijdrage",RIGHT(F1265,15)="(vrijwilligers)"),"Vast tarief"),"")</f>
        <v/>
      </c>
      <c r="O1265" s="90"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0"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1"/>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59"/>
      <c r="Z1265" s="49"/>
      <c r="AA1265" s="37" t="str" cm="1">
        <f t="array" ref="AA1265">IFERROR(IF(INDEX(SubsidieTabel!$Q$1:$T$9,MATCH($F1265,SubsidieTabel!$Q$1:$Q$9,0),IFERROR(MATCH(Methode_Keuze,SubsidieTabel!$Q$1:$T$1,0),2))&lt;&gt;1=TRUE,"ja",""),"")</f>
        <v/>
      </c>
    </row>
    <row r="1266" spans="1:27" ht="15" customHeight="1" x14ac:dyDescent="0.25">
      <c r="A1266" s="85"/>
      <c r="B1266" s="217" t="str">
        <f>IF(A1266&lt;&gt;"",_xlfn.MAXIFS($B$1:B1265,$A$1:A1265,A1266)+1,"")</f>
        <v/>
      </c>
      <c r="C1266" s="50"/>
      <c r="D1266" s="50"/>
      <c r="E1266" s="50"/>
      <c r="F1266" s="50"/>
      <c r="G1266" s="280"/>
      <c r="H1266" s="293"/>
      <c r="I1266" s="292"/>
      <c r="J1266" s="292"/>
      <c r="K1266" s="200"/>
      <c r="L1266" s="200"/>
      <c r="M1266" s="89" t="str">
        <f>IFERROR(VLOOKUP(H1266,Lijsten!$H$1:$I$100,2,0),"")</f>
        <v/>
      </c>
      <c r="N1266" s="89" t="str" cm="1">
        <f t="array" ref="N1266">IFERROR(_xlfn.IFS(AND(LEFT(F1266,6)="Arbeid",RIGHT(F1266,3)&lt;&gt;"IKS"),IFERROR(VLOOKUP($G1266,Tb_KostenTypen[],2,0),"tarief"),RIGHT(F1266,3)="IKS","Uurtarief",LEFT(F1266,6)="Arbeid","Uurtarief",AND(LEFT(F1266,8)="Bijdrage",RIGHT(F1266,15)="(vrijwilligers)"),"Vast tarief"),"")</f>
        <v/>
      </c>
      <c r="O1266" s="90"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0"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1"/>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59"/>
      <c r="Z1266" s="49"/>
      <c r="AA1266" s="37" t="str" cm="1">
        <f t="array" ref="AA1266">IFERROR(IF(INDEX(SubsidieTabel!$Q$1:$T$9,MATCH($F1266,SubsidieTabel!$Q$1:$Q$9,0),IFERROR(MATCH(Methode_Keuze,SubsidieTabel!$Q$1:$T$1,0),2))&lt;&gt;1=TRUE,"ja",""),"")</f>
        <v/>
      </c>
    </row>
    <row r="1267" spans="1:27" ht="15" customHeight="1" x14ac:dyDescent="0.25">
      <c r="A1267" s="85"/>
      <c r="B1267" s="217" t="str">
        <f>IF(A1267&lt;&gt;"",_xlfn.MAXIFS($B$1:B1266,$A$1:A1266,A1267)+1,"")</f>
        <v/>
      </c>
      <c r="C1267" s="50"/>
      <c r="D1267" s="50"/>
      <c r="E1267" s="50"/>
      <c r="F1267" s="50"/>
      <c r="G1267" s="280"/>
      <c r="H1267" s="293"/>
      <c r="I1267" s="292"/>
      <c r="J1267" s="292"/>
      <c r="K1267" s="200"/>
      <c r="L1267" s="200"/>
      <c r="M1267" s="89" t="str">
        <f>IFERROR(VLOOKUP(H1267,Lijsten!$H$1:$I$100,2,0),"")</f>
        <v/>
      </c>
      <c r="N1267" s="89" t="str" cm="1">
        <f t="array" ref="N1267">IFERROR(_xlfn.IFS(AND(LEFT(F1267,6)="Arbeid",RIGHT(F1267,3)&lt;&gt;"IKS"),IFERROR(VLOOKUP($G1267,Tb_KostenTypen[],2,0),"tarief"),RIGHT(F1267,3)="IKS","Uurtarief",LEFT(F1267,6)="Arbeid","Uurtarief",AND(LEFT(F1267,8)="Bijdrage",RIGHT(F1267,15)="(vrijwilligers)"),"Vast tarief"),"")</f>
        <v/>
      </c>
      <c r="O1267" s="90"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0"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1"/>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59"/>
      <c r="Z1267" s="49"/>
      <c r="AA1267" s="37" t="str" cm="1">
        <f t="array" ref="AA1267">IFERROR(IF(INDEX(SubsidieTabel!$Q$1:$T$9,MATCH($F1267,SubsidieTabel!$Q$1:$Q$9,0),IFERROR(MATCH(Methode_Keuze,SubsidieTabel!$Q$1:$T$1,0),2))&lt;&gt;1=TRUE,"ja",""),"")</f>
        <v/>
      </c>
    </row>
    <row r="1268" spans="1:27" ht="15" customHeight="1" x14ac:dyDescent="0.25">
      <c r="A1268" s="85"/>
      <c r="B1268" s="217" t="str">
        <f>IF(A1268&lt;&gt;"",_xlfn.MAXIFS($B$1:B1267,$A$1:A1267,A1268)+1,"")</f>
        <v/>
      </c>
      <c r="C1268" s="50"/>
      <c r="D1268" s="50"/>
      <c r="E1268" s="50"/>
      <c r="F1268" s="50"/>
      <c r="G1268" s="280"/>
      <c r="H1268" s="293"/>
      <c r="I1268" s="292"/>
      <c r="J1268" s="292"/>
      <c r="K1268" s="200"/>
      <c r="L1268" s="200"/>
      <c r="M1268" s="89" t="str">
        <f>IFERROR(VLOOKUP(H1268,Lijsten!$H$1:$I$100,2,0),"")</f>
        <v/>
      </c>
      <c r="N1268" s="89" t="str" cm="1">
        <f t="array" ref="N1268">IFERROR(_xlfn.IFS(AND(LEFT(F1268,6)="Arbeid",RIGHT(F1268,3)&lt;&gt;"IKS"),IFERROR(VLOOKUP($G1268,Tb_KostenTypen[],2,0),"tarief"),RIGHT(F1268,3)="IKS","Uurtarief",LEFT(F1268,6)="Arbeid","Uurtarief",AND(LEFT(F1268,8)="Bijdrage",RIGHT(F1268,15)="(vrijwilligers)"),"Vast tarief"),"")</f>
        <v/>
      </c>
      <c r="O1268" s="90"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0"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1"/>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59"/>
      <c r="Z1268" s="49"/>
      <c r="AA1268" s="37" t="str" cm="1">
        <f t="array" ref="AA1268">IFERROR(IF(INDEX(SubsidieTabel!$Q$1:$T$9,MATCH($F1268,SubsidieTabel!$Q$1:$Q$9,0),IFERROR(MATCH(Methode_Keuze,SubsidieTabel!$Q$1:$T$1,0),2))&lt;&gt;1=TRUE,"ja",""),"")</f>
        <v/>
      </c>
    </row>
    <row r="1269" spans="1:27" ht="15" customHeight="1" x14ac:dyDescent="0.25">
      <c r="A1269" s="85"/>
      <c r="B1269" s="217" t="str">
        <f>IF(A1269&lt;&gt;"",_xlfn.MAXIFS($B$1:B1268,$A$1:A1268,A1269)+1,"")</f>
        <v/>
      </c>
      <c r="C1269" s="50"/>
      <c r="D1269" s="50"/>
      <c r="E1269" s="50"/>
      <c r="F1269" s="50"/>
      <c r="G1269" s="280"/>
      <c r="H1269" s="293"/>
      <c r="I1269" s="292"/>
      <c r="J1269" s="292"/>
      <c r="K1269" s="200"/>
      <c r="L1269" s="200"/>
      <c r="M1269" s="89" t="str">
        <f>IFERROR(VLOOKUP(H1269,Lijsten!$H$1:$I$100,2,0),"")</f>
        <v/>
      </c>
      <c r="N1269" s="89" t="str" cm="1">
        <f t="array" ref="N1269">IFERROR(_xlfn.IFS(AND(LEFT(F1269,6)="Arbeid",RIGHT(F1269,3)&lt;&gt;"IKS"),IFERROR(VLOOKUP($G1269,Tb_KostenTypen[],2,0),"tarief"),RIGHT(F1269,3)="IKS","Uurtarief",LEFT(F1269,6)="Arbeid","Uurtarief",AND(LEFT(F1269,8)="Bijdrage",RIGHT(F1269,15)="(vrijwilligers)"),"Vast tarief"),"")</f>
        <v/>
      </c>
      <c r="O1269" s="90"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0"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1"/>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59"/>
      <c r="Z1269" s="49"/>
      <c r="AA1269" s="37" t="str" cm="1">
        <f t="array" ref="AA1269">IFERROR(IF(INDEX(SubsidieTabel!$Q$1:$T$9,MATCH($F1269,SubsidieTabel!$Q$1:$Q$9,0),IFERROR(MATCH(Methode_Keuze,SubsidieTabel!$Q$1:$T$1,0),2))&lt;&gt;1=TRUE,"ja",""),"")</f>
        <v/>
      </c>
    </row>
    <row r="1270" spans="1:27" ht="15" customHeight="1" x14ac:dyDescent="0.25">
      <c r="A1270" s="85"/>
      <c r="B1270" s="217" t="str">
        <f>IF(A1270&lt;&gt;"",_xlfn.MAXIFS($B$1:B1269,$A$1:A1269,A1270)+1,"")</f>
        <v/>
      </c>
      <c r="C1270" s="50"/>
      <c r="D1270" s="50"/>
      <c r="E1270" s="50"/>
      <c r="F1270" s="50"/>
      <c r="G1270" s="280"/>
      <c r="H1270" s="293"/>
      <c r="I1270" s="292"/>
      <c r="J1270" s="292"/>
      <c r="K1270" s="200"/>
      <c r="L1270" s="200"/>
      <c r="M1270" s="89" t="str">
        <f>IFERROR(VLOOKUP(H1270,Lijsten!$H$1:$I$100,2,0),"")</f>
        <v/>
      </c>
      <c r="N1270" s="89" t="str" cm="1">
        <f t="array" ref="N1270">IFERROR(_xlfn.IFS(AND(LEFT(F1270,6)="Arbeid",RIGHT(F1270,3)&lt;&gt;"IKS"),IFERROR(VLOOKUP($G1270,Tb_KostenTypen[],2,0),"tarief"),RIGHT(F1270,3)="IKS","Uurtarief",LEFT(F1270,6)="Arbeid","Uurtarief",AND(LEFT(F1270,8)="Bijdrage",RIGHT(F1270,15)="(vrijwilligers)"),"Vast tarief"),"")</f>
        <v/>
      </c>
      <c r="O1270" s="90"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0"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1"/>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59"/>
      <c r="Z1270" s="49"/>
      <c r="AA1270" s="37" t="str" cm="1">
        <f t="array" ref="AA1270">IFERROR(IF(INDEX(SubsidieTabel!$Q$1:$T$9,MATCH($F1270,SubsidieTabel!$Q$1:$Q$9,0),IFERROR(MATCH(Methode_Keuze,SubsidieTabel!$Q$1:$T$1,0),2))&lt;&gt;1=TRUE,"ja",""),"")</f>
        <v/>
      </c>
    </row>
    <row r="1271" spans="1:27" ht="15" customHeight="1" x14ac:dyDescent="0.25">
      <c r="A1271" s="85"/>
      <c r="B1271" s="217" t="str">
        <f>IF(A1271&lt;&gt;"",_xlfn.MAXIFS($B$1:B1270,$A$1:A1270,A1271)+1,"")</f>
        <v/>
      </c>
      <c r="C1271" s="50"/>
      <c r="D1271" s="50"/>
      <c r="E1271" s="50"/>
      <c r="F1271" s="50"/>
      <c r="G1271" s="280"/>
      <c r="H1271" s="293"/>
      <c r="I1271" s="292"/>
      <c r="J1271" s="292"/>
      <c r="K1271" s="200"/>
      <c r="L1271" s="200"/>
      <c r="M1271" s="89" t="str">
        <f>IFERROR(VLOOKUP(H1271,Lijsten!$H$1:$I$100,2,0),"")</f>
        <v/>
      </c>
      <c r="N1271" s="89" t="str" cm="1">
        <f t="array" ref="N1271">IFERROR(_xlfn.IFS(AND(LEFT(F1271,6)="Arbeid",RIGHT(F1271,3)&lt;&gt;"IKS"),IFERROR(VLOOKUP($G1271,Tb_KostenTypen[],2,0),"tarief"),RIGHT(F1271,3)="IKS","Uurtarief",LEFT(F1271,6)="Arbeid","Uurtarief",AND(LEFT(F1271,8)="Bijdrage",RIGHT(F1271,15)="(vrijwilligers)"),"Vast tarief"),"")</f>
        <v/>
      </c>
      <c r="O1271" s="90"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0"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1"/>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59"/>
      <c r="Z1271" s="49"/>
      <c r="AA1271" s="37" t="str" cm="1">
        <f t="array" ref="AA1271">IFERROR(IF(INDEX(SubsidieTabel!$Q$1:$T$9,MATCH($F1271,SubsidieTabel!$Q$1:$Q$9,0),IFERROR(MATCH(Methode_Keuze,SubsidieTabel!$Q$1:$T$1,0),2))&lt;&gt;1=TRUE,"ja",""),"")</f>
        <v/>
      </c>
    </row>
    <row r="1272" spans="1:27" ht="15" customHeight="1" x14ac:dyDescent="0.25">
      <c r="A1272" s="85"/>
      <c r="B1272" s="217" t="str">
        <f>IF(A1272&lt;&gt;"",_xlfn.MAXIFS($B$1:B1271,$A$1:A1271,A1272)+1,"")</f>
        <v/>
      </c>
      <c r="C1272" s="50"/>
      <c r="D1272" s="50"/>
      <c r="E1272" s="50"/>
      <c r="F1272" s="50"/>
      <c r="G1272" s="280"/>
      <c r="H1272" s="293"/>
      <c r="I1272" s="292"/>
      <c r="J1272" s="292"/>
      <c r="K1272" s="200"/>
      <c r="L1272" s="200"/>
      <c r="M1272" s="89" t="str">
        <f>IFERROR(VLOOKUP(H1272,Lijsten!$H$1:$I$100,2,0),"")</f>
        <v/>
      </c>
      <c r="N1272" s="89" t="str" cm="1">
        <f t="array" ref="N1272">IFERROR(_xlfn.IFS(AND(LEFT(F1272,6)="Arbeid",RIGHT(F1272,3)&lt;&gt;"IKS"),IFERROR(VLOOKUP($G1272,Tb_KostenTypen[],2,0),"tarief"),RIGHT(F1272,3)="IKS","Uurtarief",LEFT(F1272,6)="Arbeid","Uurtarief",AND(LEFT(F1272,8)="Bijdrage",RIGHT(F1272,15)="(vrijwilligers)"),"Vast tarief"),"")</f>
        <v/>
      </c>
      <c r="O1272" s="90"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0"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1"/>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59"/>
      <c r="Z1272" s="49"/>
      <c r="AA1272" s="37" t="str" cm="1">
        <f t="array" ref="AA1272">IFERROR(IF(INDEX(SubsidieTabel!$Q$1:$T$9,MATCH($F1272,SubsidieTabel!$Q$1:$Q$9,0),IFERROR(MATCH(Methode_Keuze,SubsidieTabel!$Q$1:$T$1,0),2))&lt;&gt;1=TRUE,"ja",""),"")</f>
        <v/>
      </c>
    </row>
    <row r="1273" spans="1:27" ht="15" customHeight="1" x14ac:dyDescent="0.25">
      <c r="A1273" s="85"/>
      <c r="B1273" s="217" t="str">
        <f>IF(A1273&lt;&gt;"",_xlfn.MAXIFS($B$1:B1272,$A$1:A1272,A1273)+1,"")</f>
        <v/>
      </c>
      <c r="C1273" s="50"/>
      <c r="D1273" s="50"/>
      <c r="E1273" s="50"/>
      <c r="F1273" s="50"/>
      <c r="G1273" s="280"/>
      <c r="H1273" s="293"/>
      <c r="I1273" s="292"/>
      <c r="J1273" s="292"/>
      <c r="K1273" s="200"/>
      <c r="L1273" s="200"/>
      <c r="M1273" s="89" t="str">
        <f>IFERROR(VLOOKUP(H1273,Lijsten!$H$1:$I$100,2,0),"")</f>
        <v/>
      </c>
      <c r="N1273" s="89" t="str" cm="1">
        <f t="array" ref="N1273">IFERROR(_xlfn.IFS(AND(LEFT(F1273,6)="Arbeid",RIGHT(F1273,3)&lt;&gt;"IKS"),IFERROR(VLOOKUP($G1273,Tb_KostenTypen[],2,0),"tarief"),RIGHT(F1273,3)="IKS","Uurtarief",LEFT(F1273,6)="Arbeid","Uurtarief",AND(LEFT(F1273,8)="Bijdrage",RIGHT(F1273,15)="(vrijwilligers)"),"Vast tarief"),"")</f>
        <v/>
      </c>
      <c r="O1273" s="90"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0"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1"/>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59"/>
      <c r="Z1273" s="49"/>
      <c r="AA1273" s="37" t="str" cm="1">
        <f t="array" ref="AA1273">IFERROR(IF(INDEX(SubsidieTabel!$Q$1:$T$9,MATCH($F1273,SubsidieTabel!$Q$1:$Q$9,0),IFERROR(MATCH(Methode_Keuze,SubsidieTabel!$Q$1:$T$1,0),2))&lt;&gt;1=TRUE,"ja",""),"")</f>
        <v/>
      </c>
    </row>
    <row r="1274" spans="1:27" ht="15" customHeight="1" x14ac:dyDescent="0.25">
      <c r="A1274" s="85"/>
      <c r="B1274" s="217" t="str">
        <f>IF(A1274&lt;&gt;"",_xlfn.MAXIFS($B$1:B1273,$A$1:A1273,A1274)+1,"")</f>
        <v/>
      </c>
      <c r="C1274" s="50"/>
      <c r="D1274" s="50"/>
      <c r="E1274" s="50"/>
      <c r="F1274" s="50"/>
      <c r="G1274" s="280"/>
      <c r="H1274" s="293"/>
      <c r="I1274" s="292"/>
      <c r="J1274" s="292"/>
      <c r="K1274" s="200"/>
      <c r="L1274" s="200"/>
      <c r="M1274" s="89" t="str">
        <f>IFERROR(VLOOKUP(H1274,Lijsten!$H$1:$I$100,2,0),"")</f>
        <v/>
      </c>
      <c r="N1274" s="89" t="str" cm="1">
        <f t="array" ref="N1274">IFERROR(_xlfn.IFS(AND(LEFT(F1274,6)="Arbeid",RIGHT(F1274,3)&lt;&gt;"IKS"),IFERROR(VLOOKUP($G1274,Tb_KostenTypen[],2,0),"tarief"),RIGHT(F1274,3)="IKS","Uurtarief",LEFT(F1274,6)="Arbeid","Uurtarief",AND(LEFT(F1274,8)="Bijdrage",RIGHT(F1274,15)="(vrijwilligers)"),"Vast tarief"),"")</f>
        <v/>
      </c>
      <c r="O1274" s="90"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0"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1"/>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59"/>
      <c r="Z1274" s="49"/>
      <c r="AA1274" s="37" t="str" cm="1">
        <f t="array" ref="AA1274">IFERROR(IF(INDEX(SubsidieTabel!$Q$1:$T$9,MATCH($F1274,SubsidieTabel!$Q$1:$Q$9,0),IFERROR(MATCH(Methode_Keuze,SubsidieTabel!$Q$1:$T$1,0),2))&lt;&gt;1=TRUE,"ja",""),"")</f>
        <v/>
      </c>
    </row>
    <row r="1275" spans="1:27" ht="15" customHeight="1" x14ac:dyDescent="0.25">
      <c r="A1275" s="85"/>
      <c r="B1275" s="217" t="str">
        <f>IF(A1275&lt;&gt;"",_xlfn.MAXIFS($B$1:B1274,$A$1:A1274,A1275)+1,"")</f>
        <v/>
      </c>
      <c r="C1275" s="50"/>
      <c r="D1275" s="50"/>
      <c r="E1275" s="50"/>
      <c r="F1275" s="50"/>
      <c r="G1275" s="280"/>
      <c r="H1275" s="293"/>
      <c r="I1275" s="292"/>
      <c r="J1275" s="292"/>
      <c r="K1275" s="200"/>
      <c r="L1275" s="200"/>
      <c r="M1275" s="89" t="str">
        <f>IFERROR(VLOOKUP(H1275,Lijsten!$H$1:$I$100,2,0),"")</f>
        <v/>
      </c>
      <c r="N1275" s="89" t="str" cm="1">
        <f t="array" ref="N1275">IFERROR(_xlfn.IFS(AND(LEFT(F1275,6)="Arbeid",RIGHT(F1275,3)&lt;&gt;"IKS"),IFERROR(VLOOKUP($G1275,Tb_KostenTypen[],2,0),"tarief"),RIGHT(F1275,3)="IKS","Uurtarief",LEFT(F1275,6)="Arbeid","Uurtarief",AND(LEFT(F1275,8)="Bijdrage",RIGHT(F1275,15)="(vrijwilligers)"),"Vast tarief"),"")</f>
        <v/>
      </c>
      <c r="O1275" s="90"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0"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1"/>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59"/>
      <c r="Z1275" s="49"/>
      <c r="AA1275" s="37" t="str" cm="1">
        <f t="array" ref="AA1275">IFERROR(IF(INDEX(SubsidieTabel!$Q$1:$T$9,MATCH($F1275,SubsidieTabel!$Q$1:$Q$9,0),IFERROR(MATCH(Methode_Keuze,SubsidieTabel!$Q$1:$T$1,0),2))&lt;&gt;1=TRUE,"ja",""),"")</f>
        <v/>
      </c>
    </row>
    <row r="1276" spans="1:27" ht="15" customHeight="1" x14ac:dyDescent="0.25">
      <c r="A1276" s="85"/>
      <c r="B1276" s="217" t="str">
        <f>IF(A1276&lt;&gt;"",_xlfn.MAXIFS($B$1:B1275,$A$1:A1275,A1276)+1,"")</f>
        <v/>
      </c>
      <c r="C1276" s="50"/>
      <c r="D1276" s="50"/>
      <c r="E1276" s="50"/>
      <c r="F1276" s="50"/>
      <c r="G1276" s="280"/>
      <c r="H1276" s="293"/>
      <c r="I1276" s="292"/>
      <c r="J1276" s="292"/>
      <c r="K1276" s="200"/>
      <c r="L1276" s="200"/>
      <c r="M1276" s="89" t="str">
        <f>IFERROR(VLOOKUP(H1276,Lijsten!$H$1:$I$100,2,0),"")</f>
        <v/>
      </c>
      <c r="N1276" s="89" t="str" cm="1">
        <f t="array" ref="N1276">IFERROR(_xlfn.IFS(AND(LEFT(F1276,6)="Arbeid",RIGHT(F1276,3)&lt;&gt;"IKS"),IFERROR(VLOOKUP($G1276,Tb_KostenTypen[],2,0),"tarief"),RIGHT(F1276,3)="IKS","Uurtarief",LEFT(F1276,6)="Arbeid","Uurtarief",AND(LEFT(F1276,8)="Bijdrage",RIGHT(F1276,15)="(vrijwilligers)"),"Vast tarief"),"")</f>
        <v/>
      </c>
      <c r="O1276" s="90"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0"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1"/>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59"/>
      <c r="Z1276" s="49"/>
      <c r="AA1276" s="37" t="str" cm="1">
        <f t="array" ref="AA1276">IFERROR(IF(INDEX(SubsidieTabel!$Q$1:$T$9,MATCH($F1276,SubsidieTabel!$Q$1:$Q$9,0),IFERROR(MATCH(Methode_Keuze,SubsidieTabel!$Q$1:$T$1,0),2))&lt;&gt;1=TRUE,"ja",""),"")</f>
        <v/>
      </c>
    </row>
    <row r="1277" spans="1:27" ht="15" customHeight="1" x14ac:dyDescent="0.25">
      <c r="A1277" s="85"/>
      <c r="B1277" s="217" t="str">
        <f>IF(A1277&lt;&gt;"",_xlfn.MAXIFS($B$1:B1276,$A$1:A1276,A1277)+1,"")</f>
        <v/>
      </c>
      <c r="C1277" s="50"/>
      <c r="D1277" s="50"/>
      <c r="E1277" s="50"/>
      <c r="F1277" s="50"/>
      <c r="G1277" s="280"/>
      <c r="H1277" s="293"/>
      <c r="I1277" s="292"/>
      <c r="J1277" s="292"/>
      <c r="K1277" s="200"/>
      <c r="L1277" s="200"/>
      <c r="M1277" s="89" t="str">
        <f>IFERROR(VLOOKUP(H1277,Lijsten!$H$1:$I$100,2,0),"")</f>
        <v/>
      </c>
      <c r="N1277" s="89" t="str" cm="1">
        <f t="array" ref="N1277">IFERROR(_xlfn.IFS(AND(LEFT(F1277,6)="Arbeid",RIGHT(F1277,3)&lt;&gt;"IKS"),IFERROR(VLOOKUP($G1277,Tb_KostenTypen[],2,0),"tarief"),RIGHT(F1277,3)="IKS","Uurtarief",LEFT(F1277,6)="Arbeid","Uurtarief",AND(LEFT(F1277,8)="Bijdrage",RIGHT(F1277,15)="(vrijwilligers)"),"Vast tarief"),"")</f>
        <v/>
      </c>
      <c r="O1277" s="90"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0"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1"/>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59"/>
      <c r="Z1277" s="49"/>
      <c r="AA1277" s="37" t="str" cm="1">
        <f t="array" ref="AA1277">IFERROR(IF(INDEX(SubsidieTabel!$Q$1:$T$9,MATCH($F1277,SubsidieTabel!$Q$1:$Q$9,0),IFERROR(MATCH(Methode_Keuze,SubsidieTabel!$Q$1:$T$1,0),2))&lt;&gt;1=TRUE,"ja",""),"")</f>
        <v/>
      </c>
    </row>
    <row r="1278" spans="1:27" ht="15" customHeight="1" x14ac:dyDescent="0.25">
      <c r="A1278" s="85"/>
      <c r="B1278" s="217" t="str">
        <f>IF(A1278&lt;&gt;"",_xlfn.MAXIFS($B$1:B1277,$A$1:A1277,A1278)+1,"")</f>
        <v/>
      </c>
      <c r="C1278" s="50"/>
      <c r="D1278" s="50"/>
      <c r="E1278" s="50"/>
      <c r="F1278" s="50"/>
      <c r="G1278" s="280"/>
      <c r="H1278" s="293"/>
      <c r="I1278" s="292"/>
      <c r="J1278" s="292"/>
      <c r="K1278" s="200"/>
      <c r="L1278" s="200"/>
      <c r="M1278" s="89" t="str">
        <f>IFERROR(VLOOKUP(H1278,Lijsten!$H$1:$I$100,2,0),"")</f>
        <v/>
      </c>
      <c r="N1278" s="89" t="str" cm="1">
        <f t="array" ref="N1278">IFERROR(_xlfn.IFS(AND(LEFT(F1278,6)="Arbeid",RIGHT(F1278,3)&lt;&gt;"IKS"),IFERROR(VLOOKUP($G1278,Tb_KostenTypen[],2,0),"tarief"),RIGHT(F1278,3)="IKS","Uurtarief",LEFT(F1278,6)="Arbeid","Uurtarief",AND(LEFT(F1278,8)="Bijdrage",RIGHT(F1278,15)="(vrijwilligers)"),"Vast tarief"),"")</f>
        <v/>
      </c>
      <c r="O1278" s="90"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0"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1"/>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59"/>
      <c r="Z1278" s="49"/>
      <c r="AA1278" s="37" t="str" cm="1">
        <f t="array" ref="AA1278">IFERROR(IF(INDEX(SubsidieTabel!$Q$1:$T$9,MATCH($F1278,SubsidieTabel!$Q$1:$Q$9,0),IFERROR(MATCH(Methode_Keuze,SubsidieTabel!$Q$1:$T$1,0),2))&lt;&gt;1=TRUE,"ja",""),"")</f>
        <v/>
      </c>
    </row>
    <row r="1279" spans="1:27" ht="15" customHeight="1" x14ac:dyDescent="0.25">
      <c r="A1279" s="85"/>
      <c r="B1279" s="217" t="str">
        <f>IF(A1279&lt;&gt;"",_xlfn.MAXIFS($B$1:B1278,$A$1:A1278,A1279)+1,"")</f>
        <v/>
      </c>
      <c r="C1279" s="50"/>
      <c r="D1279" s="50"/>
      <c r="E1279" s="50"/>
      <c r="F1279" s="50"/>
      <c r="G1279" s="280"/>
      <c r="H1279" s="293"/>
      <c r="I1279" s="292"/>
      <c r="J1279" s="292"/>
      <c r="K1279" s="200"/>
      <c r="L1279" s="200"/>
      <c r="M1279" s="89" t="str">
        <f>IFERROR(VLOOKUP(H1279,Lijsten!$H$1:$I$100,2,0),"")</f>
        <v/>
      </c>
      <c r="N1279" s="89" t="str" cm="1">
        <f t="array" ref="N1279">IFERROR(_xlfn.IFS(AND(LEFT(F1279,6)="Arbeid",RIGHT(F1279,3)&lt;&gt;"IKS"),IFERROR(VLOOKUP($G1279,Tb_KostenTypen[],2,0),"tarief"),RIGHT(F1279,3)="IKS","Uurtarief",LEFT(F1279,6)="Arbeid","Uurtarief",AND(LEFT(F1279,8)="Bijdrage",RIGHT(F1279,15)="(vrijwilligers)"),"Vast tarief"),"")</f>
        <v/>
      </c>
      <c r="O1279" s="90"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0"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1"/>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59"/>
      <c r="Z1279" s="49"/>
      <c r="AA1279" s="37" t="str" cm="1">
        <f t="array" ref="AA1279">IFERROR(IF(INDEX(SubsidieTabel!$Q$1:$T$9,MATCH($F1279,SubsidieTabel!$Q$1:$Q$9,0),IFERROR(MATCH(Methode_Keuze,SubsidieTabel!$Q$1:$T$1,0),2))&lt;&gt;1=TRUE,"ja",""),"")</f>
        <v/>
      </c>
    </row>
    <row r="1280" spans="1:27" ht="15" customHeight="1" x14ac:dyDescent="0.25">
      <c r="A1280" s="85"/>
      <c r="B1280" s="217" t="str">
        <f>IF(A1280&lt;&gt;"",_xlfn.MAXIFS($B$1:B1279,$A$1:A1279,A1280)+1,"")</f>
        <v/>
      </c>
      <c r="C1280" s="50"/>
      <c r="D1280" s="50"/>
      <c r="E1280" s="50"/>
      <c r="F1280" s="50"/>
      <c r="G1280" s="280"/>
      <c r="H1280" s="293"/>
      <c r="I1280" s="292"/>
      <c r="J1280" s="292"/>
      <c r="K1280" s="200"/>
      <c r="L1280" s="200"/>
      <c r="M1280" s="89" t="str">
        <f>IFERROR(VLOOKUP(H1280,Lijsten!$H$1:$I$100,2,0),"")</f>
        <v/>
      </c>
      <c r="N1280" s="89" t="str" cm="1">
        <f t="array" ref="N1280">IFERROR(_xlfn.IFS(AND(LEFT(F1280,6)="Arbeid",RIGHT(F1280,3)&lt;&gt;"IKS"),IFERROR(VLOOKUP($G1280,Tb_KostenTypen[],2,0),"tarief"),RIGHT(F1280,3)="IKS","Uurtarief",LEFT(F1280,6)="Arbeid","Uurtarief",AND(LEFT(F1280,8)="Bijdrage",RIGHT(F1280,15)="(vrijwilligers)"),"Vast tarief"),"")</f>
        <v/>
      </c>
      <c r="O1280" s="90"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0"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1"/>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59"/>
      <c r="Z1280" s="49"/>
      <c r="AA1280" s="37" t="str" cm="1">
        <f t="array" ref="AA1280">IFERROR(IF(INDEX(SubsidieTabel!$Q$1:$T$9,MATCH($F1280,SubsidieTabel!$Q$1:$Q$9,0),IFERROR(MATCH(Methode_Keuze,SubsidieTabel!$Q$1:$T$1,0),2))&lt;&gt;1=TRUE,"ja",""),"")</f>
        <v/>
      </c>
    </row>
    <row r="1281" spans="1:27" ht="15" customHeight="1" x14ac:dyDescent="0.25">
      <c r="A1281" s="85"/>
      <c r="B1281" s="217" t="str">
        <f>IF(A1281&lt;&gt;"",_xlfn.MAXIFS($B$1:B1280,$A$1:A1280,A1281)+1,"")</f>
        <v/>
      </c>
      <c r="C1281" s="50"/>
      <c r="D1281" s="50"/>
      <c r="E1281" s="50"/>
      <c r="F1281" s="50"/>
      <c r="G1281" s="280"/>
      <c r="H1281" s="293"/>
      <c r="I1281" s="292"/>
      <c r="J1281" s="292"/>
      <c r="K1281" s="200"/>
      <c r="L1281" s="200"/>
      <c r="M1281" s="89" t="str">
        <f>IFERROR(VLOOKUP(H1281,Lijsten!$H$1:$I$100,2,0),"")</f>
        <v/>
      </c>
      <c r="N1281" s="89" t="str" cm="1">
        <f t="array" ref="N1281">IFERROR(_xlfn.IFS(AND(LEFT(F1281,6)="Arbeid",RIGHT(F1281,3)&lt;&gt;"IKS"),IFERROR(VLOOKUP($G1281,Tb_KostenTypen[],2,0),"tarief"),RIGHT(F1281,3)="IKS","Uurtarief",LEFT(F1281,6)="Arbeid","Uurtarief",AND(LEFT(F1281,8)="Bijdrage",RIGHT(F1281,15)="(vrijwilligers)"),"Vast tarief"),"")</f>
        <v/>
      </c>
      <c r="O1281" s="90"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0"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1"/>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59"/>
      <c r="Z1281" s="49"/>
      <c r="AA1281" s="37" t="str" cm="1">
        <f t="array" ref="AA1281">IFERROR(IF(INDEX(SubsidieTabel!$Q$1:$T$9,MATCH($F1281,SubsidieTabel!$Q$1:$Q$9,0),IFERROR(MATCH(Methode_Keuze,SubsidieTabel!$Q$1:$T$1,0),2))&lt;&gt;1=TRUE,"ja",""),"")</f>
        <v/>
      </c>
    </row>
    <row r="1282" spans="1:27" ht="15" customHeight="1" x14ac:dyDescent="0.25">
      <c r="A1282" s="85"/>
      <c r="B1282" s="217" t="str">
        <f>IF(A1282&lt;&gt;"",_xlfn.MAXIFS($B$1:B1281,$A$1:A1281,A1282)+1,"")</f>
        <v/>
      </c>
      <c r="C1282" s="50"/>
      <c r="D1282" s="50"/>
      <c r="E1282" s="50"/>
      <c r="F1282" s="50"/>
      <c r="G1282" s="280"/>
      <c r="H1282" s="293"/>
      <c r="I1282" s="292"/>
      <c r="J1282" s="292"/>
      <c r="K1282" s="200"/>
      <c r="L1282" s="200"/>
      <c r="M1282" s="89" t="str">
        <f>IFERROR(VLOOKUP(H1282,Lijsten!$H$1:$I$100,2,0),"")</f>
        <v/>
      </c>
      <c r="N1282" s="89" t="str" cm="1">
        <f t="array" ref="N1282">IFERROR(_xlfn.IFS(AND(LEFT(F1282,6)="Arbeid",RIGHT(F1282,3)&lt;&gt;"IKS"),IFERROR(VLOOKUP($G1282,Tb_KostenTypen[],2,0),"tarief"),RIGHT(F1282,3)="IKS","Uurtarief",LEFT(F1282,6)="Arbeid","Uurtarief",AND(LEFT(F1282,8)="Bijdrage",RIGHT(F1282,15)="(vrijwilligers)"),"Vast tarief"),"")</f>
        <v/>
      </c>
      <c r="O1282" s="90"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0"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1"/>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59"/>
      <c r="Z1282" s="49"/>
      <c r="AA1282" s="37" t="str" cm="1">
        <f t="array" ref="AA1282">IFERROR(IF(INDEX(SubsidieTabel!$Q$1:$T$9,MATCH($F1282,SubsidieTabel!$Q$1:$Q$9,0),IFERROR(MATCH(Methode_Keuze,SubsidieTabel!$Q$1:$T$1,0),2))&lt;&gt;1=TRUE,"ja",""),"")</f>
        <v/>
      </c>
    </row>
    <row r="1283" spans="1:27" ht="15" customHeight="1" x14ac:dyDescent="0.25">
      <c r="A1283" s="85"/>
      <c r="B1283" s="217" t="str">
        <f>IF(A1283&lt;&gt;"",_xlfn.MAXIFS($B$1:B1282,$A$1:A1282,A1283)+1,"")</f>
        <v/>
      </c>
      <c r="C1283" s="50"/>
      <c r="D1283" s="50"/>
      <c r="E1283" s="50"/>
      <c r="F1283" s="50"/>
      <c r="G1283" s="280"/>
      <c r="H1283" s="293"/>
      <c r="I1283" s="292"/>
      <c r="J1283" s="292"/>
      <c r="K1283" s="200"/>
      <c r="L1283" s="200"/>
      <c r="M1283" s="89" t="str">
        <f>IFERROR(VLOOKUP(H1283,Lijsten!$H$1:$I$100,2,0),"")</f>
        <v/>
      </c>
      <c r="N1283" s="89" t="str" cm="1">
        <f t="array" ref="N1283">IFERROR(_xlfn.IFS(AND(LEFT(F1283,6)="Arbeid",RIGHT(F1283,3)&lt;&gt;"IKS"),IFERROR(VLOOKUP($G1283,Tb_KostenTypen[],2,0),"tarief"),RIGHT(F1283,3)="IKS","Uurtarief",LEFT(F1283,6)="Arbeid","Uurtarief",AND(LEFT(F1283,8)="Bijdrage",RIGHT(F1283,15)="(vrijwilligers)"),"Vast tarief"),"")</f>
        <v/>
      </c>
      <c r="O1283" s="90"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0"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1"/>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59"/>
      <c r="Z1283" s="49"/>
      <c r="AA1283" s="37" t="str" cm="1">
        <f t="array" ref="AA1283">IFERROR(IF(INDEX(SubsidieTabel!$Q$1:$T$9,MATCH($F1283,SubsidieTabel!$Q$1:$Q$9,0),IFERROR(MATCH(Methode_Keuze,SubsidieTabel!$Q$1:$T$1,0),2))&lt;&gt;1=TRUE,"ja",""),"")</f>
        <v/>
      </c>
    </row>
    <row r="1284" spans="1:27" ht="15" customHeight="1" x14ac:dyDescent="0.25">
      <c r="A1284" s="85"/>
      <c r="B1284" s="217" t="str">
        <f>IF(A1284&lt;&gt;"",_xlfn.MAXIFS($B$1:B1283,$A$1:A1283,A1284)+1,"")</f>
        <v/>
      </c>
      <c r="C1284" s="50"/>
      <c r="D1284" s="50"/>
      <c r="E1284" s="50"/>
      <c r="F1284" s="50"/>
      <c r="G1284" s="280"/>
      <c r="H1284" s="293"/>
      <c r="I1284" s="292"/>
      <c r="J1284" s="292"/>
      <c r="K1284" s="200"/>
      <c r="L1284" s="200"/>
      <c r="M1284" s="89" t="str">
        <f>IFERROR(VLOOKUP(H1284,Lijsten!$H$1:$I$100,2,0),"")</f>
        <v/>
      </c>
      <c r="N1284" s="89" t="str" cm="1">
        <f t="array" ref="N1284">IFERROR(_xlfn.IFS(AND(LEFT(F1284,6)="Arbeid",RIGHT(F1284,3)&lt;&gt;"IKS"),IFERROR(VLOOKUP($G1284,Tb_KostenTypen[],2,0),"tarief"),RIGHT(F1284,3)="IKS","Uurtarief",LEFT(F1284,6)="Arbeid","Uurtarief",AND(LEFT(F1284,8)="Bijdrage",RIGHT(F1284,15)="(vrijwilligers)"),"Vast tarief"),"")</f>
        <v/>
      </c>
      <c r="O1284" s="90"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0"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1"/>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59"/>
      <c r="Z1284" s="49"/>
      <c r="AA1284" s="37" t="str" cm="1">
        <f t="array" ref="AA1284">IFERROR(IF(INDEX(SubsidieTabel!$Q$1:$T$9,MATCH($F1284,SubsidieTabel!$Q$1:$Q$9,0),IFERROR(MATCH(Methode_Keuze,SubsidieTabel!$Q$1:$T$1,0),2))&lt;&gt;1=TRUE,"ja",""),"")</f>
        <v/>
      </c>
    </row>
    <row r="1285" spans="1:27" ht="15" customHeight="1" x14ac:dyDescent="0.25">
      <c r="A1285" s="85"/>
      <c r="B1285" s="217" t="str">
        <f>IF(A1285&lt;&gt;"",_xlfn.MAXIFS($B$1:B1284,$A$1:A1284,A1285)+1,"")</f>
        <v/>
      </c>
      <c r="C1285" s="50"/>
      <c r="D1285" s="50"/>
      <c r="E1285" s="50"/>
      <c r="F1285" s="50"/>
      <c r="G1285" s="280"/>
      <c r="H1285" s="293"/>
      <c r="I1285" s="292"/>
      <c r="J1285" s="292"/>
      <c r="K1285" s="200"/>
      <c r="L1285" s="200"/>
      <c r="M1285" s="89" t="str">
        <f>IFERROR(VLOOKUP(H1285,Lijsten!$H$1:$I$100,2,0),"")</f>
        <v/>
      </c>
      <c r="N1285" s="89" t="str" cm="1">
        <f t="array" ref="N1285">IFERROR(_xlfn.IFS(AND(LEFT(F1285,6)="Arbeid",RIGHT(F1285,3)&lt;&gt;"IKS"),IFERROR(VLOOKUP($G1285,Tb_KostenTypen[],2,0),"tarief"),RIGHT(F1285,3)="IKS","Uurtarief",LEFT(F1285,6)="Arbeid","Uurtarief",AND(LEFT(F1285,8)="Bijdrage",RIGHT(F1285,15)="(vrijwilligers)"),"Vast tarief"),"")</f>
        <v/>
      </c>
      <c r="O1285" s="90"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0"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1"/>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59"/>
      <c r="Z1285" s="49"/>
      <c r="AA1285" s="37" t="str" cm="1">
        <f t="array" ref="AA1285">IFERROR(IF(INDEX(SubsidieTabel!$Q$1:$T$9,MATCH($F1285,SubsidieTabel!$Q$1:$Q$9,0),IFERROR(MATCH(Methode_Keuze,SubsidieTabel!$Q$1:$T$1,0),2))&lt;&gt;1=TRUE,"ja",""),"")</f>
        <v/>
      </c>
    </row>
    <row r="1286" spans="1:27" ht="15" customHeight="1" x14ac:dyDescent="0.25">
      <c r="A1286" s="85"/>
      <c r="B1286" s="217" t="str">
        <f>IF(A1286&lt;&gt;"",_xlfn.MAXIFS($B$1:B1285,$A$1:A1285,A1286)+1,"")</f>
        <v/>
      </c>
      <c r="C1286" s="50"/>
      <c r="D1286" s="50"/>
      <c r="E1286" s="50"/>
      <c r="F1286" s="50"/>
      <c r="G1286" s="280"/>
      <c r="H1286" s="293"/>
      <c r="I1286" s="292"/>
      <c r="J1286" s="292"/>
      <c r="K1286" s="200"/>
      <c r="L1286" s="200"/>
      <c r="M1286" s="89" t="str">
        <f>IFERROR(VLOOKUP(H1286,Lijsten!$H$1:$I$100,2,0),"")</f>
        <v/>
      </c>
      <c r="N1286" s="89" t="str" cm="1">
        <f t="array" ref="N1286">IFERROR(_xlfn.IFS(AND(LEFT(F1286,6)="Arbeid",RIGHT(F1286,3)&lt;&gt;"IKS"),IFERROR(VLOOKUP($G1286,Tb_KostenTypen[],2,0),"tarief"),RIGHT(F1286,3)="IKS","Uurtarief",LEFT(F1286,6)="Arbeid","Uurtarief",AND(LEFT(F1286,8)="Bijdrage",RIGHT(F1286,15)="(vrijwilligers)"),"Vast tarief"),"")</f>
        <v/>
      </c>
      <c r="O1286" s="90"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0"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1"/>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59"/>
      <c r="Z1286" s="49"/>
      <c r="AA1286" s="37" t="str" cm="1">
        <f t="array" ref="AA1286">IFERROR(IF(INDEX(SubsidieTabel!$Q$1:$T$9,MATCH($F1286,SubsidieTabel!$Q$1:$Q$9,0),IFERROR(MATCH(Methode_Keuze,SubsidieTabel!$Q$1:$T$1,0),2))&lt;&gt;1=TRUE,"ja",""),"")</f>
        <v/>
      </c>
    </row>
    <row r="1287" spans="1:27" ht="15" customHeight="1" x14ac:dyDescent="0.25">
      <c r="A1287" s="85"/>
      <c r="B1287" s="217" t="str">
        <f>IF(A1287&lt;&gt;"",_xlfn.MAXIFS($B$1:B1286,$A$1:A1286,A1287)+1,"")</f>
        <v/>
      </c>
      <c r="C1287" s="50"/>
      <c r="D1287" s="50"/>
      <c r="E1287" s="50"/>
      <c r="F1287" s="50"/>
      <c r="G1287" s="280"/>
      <c r="H1287" s="293"/>
      <c r="I1287" s="292"/>
      <c r="J1287" s="292"/>
      <c r="K1287" s="200"/>
      <c r="L1287" s="200"/>
      <c r="M1287" s="89" t="str">
        <f>IFERROR(VLOOKUP(H1287,Lijsten!$H$1:$I$100,2,0),"")</f>
        <v/>
      </c>
      <c r="N1287" s="89" t="str" cm="1">
        <f t="array" ref="N1287">IFERROR(_xlfn.IFS(AND(LEFT(F1287,6)="Arbeid",RIGHT(F1287,3)&lt;&gt;"IKS"),IFERROR(VLOOKUP($G1287,Tb_KostenTypen[],2,0),"tarief"),RIGHT(F1287,3)="IKS","Uurtarief",LEFT(F1287,6)="Arbeid","Uurtarief",AND(LEFT(F1287,8)="Bijdrage",RIGHT(F1287,15)="(vrijwilligers)"),"Vast tarief"),"")</f>
        <v/>
      </c>
      <c r="O1287" s="90"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0"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1"/>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59"/>
      <c r="Z1287" s="49"/>
      <c r="AA1287" s="37" t="str" cm="1">
        <f t="array" ref="AA1287">IFERROR(IF(INDEX(SubsidieTabel!$Q$1:$T$9,MATCH($F1287,SubsidieTabel!$Q$1:$Q$9,0),IFERROR(MATCH(Methode_Keuze,SubsidieTabel!$Q$1:$T$1,0),2))&lt;&gt;1=TRUE,"ja",""),"")</f>
        <v/>
      </c>
    </row>
    <row r="1288" spans="1:27" ht="15" customHeight="1" x14ac:dyDescent="0.25">
      <c r="A1288" s="85"/>
      <c r="B1288" s="217" t="str">
        <f>IF(A1288&lt;&gt;"",_xlfn.MAXIFS($B$1:B1287,$A$1:A1287,A1288)+1,"")</f>
        <v/>
      </c>
      <c r="C1288" s="50"/>
      <c r="D1288" s="50"/>
      <c r="E1288" s="50"/>
      <c r="F1288" s="50"/>
      <c r="G1288" s="280"/>
      <c r="H1288" s="293"/>
      <c r="I1288" s="292"/>
      <c r="J1288" s="292"/>
      <c r="K1288" s="200"/>
      <c r="L1288" s="200"/>
      <c r="M1288" s="89" t="str">
        <f>IFERROR(VLOOKUP(H1288,Lijsten!$H$1:$I$100,2,0),"")</f>
        <v/>
      </c>
      <c r="N1288" s="89" t="str" cm="1">
        <f t="array" ref="N1288">IFERROR(_xlfn.IFS(AND(LEFT(F1288,6)="Arbeid",RIGHT(F1288,3)&lt;&gt;"IKS"),IFERROR(VLOOKUP($G1288,Tb_KostenTypen[],2,0),"tarief"),RIGHT(F1288,3)="IKS","Uurtarief",LEFT(F1288,6)="Arbeid","Uurtarief",AND(LEFT(F1288,8)="Bijdrage",RIGHT(F1288,15)="(vrijwilligers)"),"Vast tarief"),"")</f>
        <v/>
      </c>
      <c r="O1288" s="90"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0"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1"/>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59"/>
      <c r="Z1288" s="49"/>
      <c r="AA1288" s="37" t="str" cm="1">
        <f t="array" ref="AA1288">IFERROR(IF(INDEX(SubsidieTabel!$Q$1:$T$9,MATCH($F1288,SubsidieTabel!$Q$1:$Q$9,0),IFERROR(MATCH(Methode_Keuze,SubsidieTabel!$Q$1:$T$1,0),2))&lt;&gt;1=TRUE,"ja",""),"")</f>
        <v/>
      </c>
    </row>
    <row r="1289" spans="1:27" ht="15" customHeight="1" x14ac:dyDescent="0.25">
      <c r="A1289" s="85"/>
      <c r="B1289" s="217" t="str">
        <f>IF(A1289&lt;&gt;"",_xlfn.MAXIFS($B$1:B1288,$A$1:A1288,A1289)+1,"")</f>
        <v/>
      </c>
      <c r="C1289" s="50"/>
      <c r="D1289" s="50"/>
      <c r="E1289" s="50"/>
      <c r="F1289" s="50"/>
      <c r="G1289" s="280"/>
      <c r="H1289" s="293"/>
      <c r="I1289" s="292"/>
      <c r="J1289" s="292"/>
      <c r="K1289" s="200"/>
      <c r="L1289" s="200"/>
      <c r="M1289" s="89" t="str">
        <f>IFERROR(VLOOKUP(H1289,Lijsten!$H$1:$I$100,2,0),"")</f>
        <v/>
      </c>
      <c r="N1289" s="89" t="str" cm="1">
        <f t="array" ref="N1289">IFERROR(_xlfn.IFS(AND(LEFT(F1289,6)="Arbeid",RIGHT(F1289,3)&lt;&gt;"IKS"),IFERROR(VLOOKUP($G1289,Tb_KostenTypen[],2,0),"tarief"),RIGHT(F1289,3)="IKS","Uurtarief",LEFT(F1289,6)="Arbeid","Uurtarief",AND(LEFT(F1289,8)="Bijdrage",RIGHT(F1289,15)="(vrijwilligers)"),"Vast tarief"),"")</f>
        <v/>
      </c>
      <c r="O1289" s="90"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0"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1"/>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59"/>
      <c r="Z1289" s="49"/>
      <c r="AA1289" s="37" t="str" cm="1">
        <f t="array" ref="AA1289">IFERROR(IF(INDEX(SubsidieTabel!$Q$1:$T$9,MATCH($F1289,SubsidieTabel!$Q$1:$Q$9,0),IFERROR(MATCH(Methode_Keuze,SubsidieTabel!$Q$1:$T$1,0),2))&lt;&gt;1=TRUE,"ja",""),"")</f>
        <v/>
      </c>
    </row>
    <row r="1290" spans="1:27" ht="15" customHeight="1" x14ac:dyDescent="0.25">
      <c r="A1290" s="85"/>
      <c r="B1290" s="217" t="str">
        <f>IF(A1290&lt;&gt;"",_xlfn.MAXIFS($B$1:B1289,$A$1:A1289,A1290)+1,"")</f>
        <v/>
      </c>
      <c r="C1290" s="50"/>
      <c r="D1290" s="50"/>
      <c r="E1290" s="50"/>
      <c r="F1290" s="50"/>
      <c r="G1290" s="280"/>
      <c r="H1290" s="293"/>
      <c r="I1290" s="292"/>
      <c r="J1290" s="292"/>
      <c r="K1290" s="200"/>
      <c r="L1290" s="200"/>
      <c r="M1290" s="89" t="str">
        <f>IFERROR(VLOOKUP(H1290,Lijsten!$H$1:$I$100,2,0),"")</f>
        <v/>
      </c>
      <c r="N1290" s="89" t="str" cm="1">
        <f t="array" ref="N1290">IFERROR(_xlfn.IFS(AND(LEFT(F1290,6)="Arbeid",RIGHT(F1290,3)&lt;&gt;"IKS"),IFERROR(VLOOKUP($G1290,Tb_KostenTypen[],2,0),"tarief"),RIGHT(F1290,3)="IKS","Uurtarief",LEFT(F1290,6)="Arbeid","Uurtarief",AND(LEFT(F1290,8)="Bijdrage",RIGHT(F1290,15)="(vrijwilligers)"),"Vast tarief"),"")</f>
        <v/>
      </c>
      <c r="O1290" s="90"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0"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1"/>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59"/>
      <c r="Z1290" s="49"/>
      <c r="AA1290" s="37" t="str" cm="1">
        <f t="array" ref="AA1290">IFERROR(IF(INDEX(SubsidieTabel!$Q$1:$T$9,MATCH($F1290,SubsidieTabel!$Q$1:$Q$9,0),IFERROR(MATCH(Methode_Keuze,SubsidieTabel!$Q$1:$T$1,0),2))&lt;&gt;1=TRUE,"ja",""),"")</f>
        <v/>
      </c>
    </row>
    <row r="1291" spans="1:27" ht="15" customHeight="1" x14ac:dyDescent="0.25">
      <c r="A1291" s="85"/>
      <c r="B1291" s="217" t="str">
        <f>IF(A1291&lt;&gt;"",_xlfn.MAXIFS($B$1:B1290,$A$1:A1290,A1291)+1,"")</f>
        <v/>
      </c>
      <c r="C1291" s="50"/>
      <c r="D1291" s="50"/>
      <c r="E1291" s="50"/>
      <c r="F1291" s="50"/>
      <c r="G1291" s="280"/>
      <c r="H1291" s="293"/>
      <c r="I1291" s="292"/>
      <c r="J1291" s="292"/>
      <c r="K1291" s="200"/>
      <c r="L1291" s="200"/>
      <c r="M1291" s="89" t="str">
        <f>IFERROR(VLOOKUP(H1291,Lijsten!$H$1:$I$100,2,0),"")</f>
        <v/>
      </c>
      <c r="N1291" s="89" t="str" cm="1">
        <f t="array" ref="N1291">IFERROR(_xlfn.IFS(AND(LEFT(F1291,6)="Arbeid",RIGHT(F1291,3)&lt;&gt;"IKS"),IFERROR(VLOOKUP($G1291,Tb_KostenTypen[],2,0),"tarief"),RIGHT(F1291,3)="IKS","Uurtarief",LEFT(F1291,6)="Arbeid","Uurtarief",AND(LEFT(F1291,8)="Bijdrage",RIGHT(F1291,15)="(vrijwilligers)"),"Vast tarief"),"")</f>
        <v/>
      </c>
      <c r="O1291" s="90"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0"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1"/>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59"/>
      <c r="Z1291" s="49"/>
      <c r="AA1291" s="37" t="str" cm="1">
        <f t="array" ref="AA1291">IFERROR(IF(INDEX(SubsidieTabel!$Q$1:$T$9,MATCH($F1291,SubsidieTabel!$Q$1:$Q$9,0),IFERROR(MATCH(Methode_Keuze,SubsidieTabel!$Q$1:$T$1,0),2))&lt;&gt;1=TRUE,"ja",""),"")</f>
        <v/>
      </c>
    </row>
    <row r="1292" spans="1:27" ht="15" customHeight="1" x14ac:dyDescent="0.25">
      <c r="A1292" s="85"/>
      <c r="B1292" s="217" t="str">
        <f>IF(A1292&lt;&gt;"",_xlfn.MAXIFS($B$1:B1291,$A$1:A1291,A1292)+1,"")</f>
        <v/>
      </c>
      <c r="C1292" s="50"/>
      <c r="D1292" s="50"/>
      <c r="E1292" s="50"/>
      <c r="F1292" s="50"/>
      <c r="G1292" s="280"/>
      <c r="H1292" s="293"/>
      <c r="I1292" s="292"/>
      <c r="J1292" s="292"/>
      <c r="K1292" s="200"/>
      <c r="L1292" s="200"/>
      <c r="M1292" s="89" t="str">
        <f>IFERROR(VLOOKUP(H1292,Lijsten!$H$1:$I$100,2,0),"")</f>
        <v/>
      </c>
      <c r="N1292" s="89" t="str" cm="1">
        <f t="array" ref="N1292">IFERROR(_xlfn.IFS(AND(LEFT(F1292,6)="Arbeid",RIGHT(F1292,3)&lt;&gt;"IKS"),IFERROR(VLOOKUP($G1292,Tb_KostenTypen[],2,0),"tarief"),RIGHT(F1292,3)="IKS","Uurtarief",LEFT(F1292,6)="Arbeid","Uurtarief",AND(LEFT(F1292,8)="Bijdrage",RIGHT(F1292,15)="(vrijwilligers)"),"Vast tarief"),"")</f>
        <v/>
      </c>
      <c r="O1292" s="90"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0"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1"/>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59"/>
      <c r="Z1292" s="49"/>
      <c r="AA1292" s="37" t="str" cm="1">
        <f t="array" ref="AA1292">IFERROR(IF(INDEX(SubsidieTabel!$Q$1:$T$9,MATCH($F1292,SubsidieTabel!$Q$1:$Q$9,0),IFERROR(MATCH(Methode_Keuze,SubsidieTabel!$Q$1:$T$1,0),2))&lt;&gt;1=TRUE,"ja",""),"")</f>
        <v/>
      </c>
    </row>
    <row r="1293" spans="1:27" ht="15" customHeight="1" x14ac:dyDescent="0.25">
      <c r="A1293" s="85"/>
      <c r="B1293" s="217" t="str">
        <f>IF(A1293&lt;&gt;"",_xlfn.MAXIFS($B$1:B1292,$A$1:A1292,A1293)+1,"")</f>
        <v/>
      </c>
      <c r="C1293" s="50"/>
      <c r="D1293" s="50"/>
      <c r="E1293" s="50"/>
      <c r="F1293" s="50"/>
      <c r="G1293" s="280"/>
      <c r="H1293" s="293"/>
      <c r="I1293" s="292"/>
      <c r="J1293" s="292"/>
      <c r="K1293" s="200"/>
      <c r="L1293" s="200"/>
      <c r="M1293" s="89" t="str">
        <f>IFERROR(VLOOKUP(H1293,Lijsten!$H$1:$I$100,2,0),"")</f>
        <v/>
      </c>
      <c r="N1293" s="89" t="str" cm="1">
        <f t="array" ref="N1293">IFERROR(_xlfn.IFS(AND(LEFT(F1293,6)="Arbeid",RIGHT(F1293,3)&lt;&gt;"IKS"),IFERROR(VLOOKUP($G1293,Tb_KostenTypen[],2,0),"tarief"),RIGHT(F1293,3)="IKS","Uurtarief",LEFT(F1293,6)="Arbeid","Uurtarief",AND(LEFT(F1293,8)="Bijdrage",RIGHT(F1293,15)="(vrijwilligers)"),"Vast tarief"),"")</f>
        <v/>
      </c>
      <c r="O1293" s="90"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0"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1"/>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59"/>
      <c r="Z1293" s="49"/>
      <c r="AA1293" s="37" t="str" cm="1">
        <f t="array" ref="AA1293">IFERROR(IF(INDEX(SubsidieTabel!$Q$1:$T$9,MATCH($F1293,SubsidieTabel!$Q$1:$Q$9,0),IFERROR(MATCH(Methode_Keuze,SubsidieTabel!$Q$1:$T$1,0),2))&lt;&gt;1=TRUE,"ja",""),"")</f>
        <v/>
      </c>
    </row>
    <row r="1294" spans="1:27" ht="15" customHeight="1" x14ac:dyDescent="0.25">
      <c r="A1294" s="85"/>
      <c r="B1294" s="217" t="str">
        <f>IF(A1294&lt;&gt;"",_xlfn.MAXIFS($B$1:B1293,$A$1:A1293,A1294)+1,"")</f>
        <v/>
      </c>
      <c r="C1294" s="50"/>
      <c r="D1294" s="50"/>
      <c r="E1294" s="50"/>
      <c r="F1294" s="50"/>
      <c r="G1294" s="280"/>
      <c r="H1294" s="293"/>
      <c r="I1294" s="292"/>
      <c r="J1294" s="292"/>
      <c r="K1294" s="200"/>
      <c r="L1294" s="200"/>
      <c r="M1294" s="89" t="str">
        <f>IFERROR(VLOOKUP(H1294,Lijsten!$H$1:$I$100,2,0),"")</f>
        <v/>
      </c>
      <c r="N1294" s="89" t="str" cm="1">
        <f t="array" ref="N1294">IFERROR(_xlfn.IFS(AND(LEFT(F1294,6)="Arbeid",RIGHT(F1294,3)&lt;&gt;"IKS"),IFERROR(VLOOKUP($G1294,Tb_KostenTypen[],2,0),"tarief"),RIGHT(F1294,3)="IKS","Uurtarief",LEFT(F1294,6)="Arbeid","Uurtarief",AND(LEFT(F1294,8)="Bijdrage",RIGHT(F1294,15)="(vrijwilligers)"),"Vast tarief"),"")</f>
        <v/>
      </c>
      <c r="O1294" s="90"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0"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1"/>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59"/>
      <c r="Z1294" s="49"/>
      <c r="AA1294" s="37" t="str" cm="1">
        <f t="array" ref="AA1294">IFERROR(IF(INDEX(SubsidieTabel!$Q$1:$T$9,MATCH($F1294,SubsidieTabel!$Q$1:$Q$9,0),IFERROR(MATCH(Methode_Keuze,SubsidieTabel!$Q$1:$T$1,0),2))&lt;&gt;1=TRUE,"ja",""),"")</f>
        <v/>
      </c>
    </row>
    <row r="1295" spans="1:27" ht="15" customHeight="1" x14ac:dyDescent="0.25">
      <c r="A1295" s="85"/>
      <c r="B1295" s="217" t="str">
        <f>IF(A1295&lt;&gt;"",_xlfn.MAXIFS($B$1:B1294,$A$1:A1294,A1295)+1,"")</f>
        <v/>
      </c>
      <c r="C1295" s="50"/>
      <c r="D1295" s="50"/>
      <c r="E1295" s="50"/>
      <c r="F1295" s="50"/>
      <c r="G1295" s="280"/>
      <c r="H1295" s="293"/>
      <c r="I1295" s="292"/>
      <c r="J1295" s="292"/>
      <c r="K1295" s="200"/>
      <c r="L1295" s="200"/>
      <c r="M1295" s="89" t="str">
        <f>IFERROR(VLOOKUP(H1295,Lijsten!$H$1:$I$100,2,0),"")</f>
        <v/>
      </c>
      <c r="N1295" s="89" t="str" cm="1">
        <f t="array" ref="N1295">IFERROR(_xlfn.IFS(AND(LEFT(F1295,6)="Arbeid",RIGHT(F1295,3)&lt;&gt;"IKS"),IFERROR(VLOOKUP($G1295,Tb_KostenTypen[],2,0),"tarief"),RIGHT(F1295,3)="IKS","Uurtarief",LEFT(F1295,6)="Arbeid","Uurtarief",AND(LEFT(F1295,8)="Bijdrage",RIGHT(F1295,15)="(vrijwilligers)"),"Vast tarief"),"")</f>
        <v/>
      </c>
      <c r="O1295" s="90"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0"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1"/>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59"/>
      <c r="Z1295" s="49"/>
      <c r="AA1295" s="37" t="str" cm="1">
        <f t="array" ref="AA1295">IFERROR(IF(INDEX(SubsidieTabel!$Q$1:$T$9,MATCH($F1295,SubsidieTabel!$Q$1:$Q$9,0),IFERROR(MATCH(Methode_Keuze,SubsidieTabel!$Q$1:$T$1,0),2))&lt;&gt;1=TRUE,"ja",""),"")</f>
        <v/>
      </c>
    </row>
    <row r="1296" spans="1:27" ht="15" customHeight="1" x14ac:dyDescent="0.25">
      <c r="A1296" s="85"/>
      <c r="B1296" s="217" t="str">
        <f>IF(A1296&lt;&gt;"",_xlfn.MAXIFS($B$1:B1295,$A$1:A1295,A1296)+1,"")</f>
        <v/>
      </c>
      <c r="C1296" s="50"/>
      <c r="D1296" s="50"/>
      <c r="E1296" s="50"/>
      <c r="F1296" s="50"/>
      <c r="G1296" s="280"/>
      <c r="H1296" s="293"/>
      <c r="I1296" s="292"/>
      <c r="J1296" s="292"/>
      <c r="K1296" s="200"/>
      <c r="L1296" s="200"/>
      <c r="M1296" s="89" t="str">
        <f>IFERROR(VLOOKUP(H1296,Lijsten!$H$1:$I$100,2,0),"")</f>
        <v/>
      </c>
      <c r="N1296" s="89" t="str" cm="1">
        <f t="array" ref="N1296">IFERROR(_xlfn.IFS(AND(LEFT(F1296,6)="Arbeid",RIGHT(F1296,3)&lt;&gt;"IKS"),IFERROR(VLOOKUP($G1296,Tb_KostenTypen[],2,0),"tarief"),RIGHT(F1296,3)="IKS","Uurtarief",LEFT(F1296,6)="Arbeid","Uurtarief",AND(LEFT(F1296,8)="Bijdrage",RIGHT(F1296,15)="(vrijwilligers)"),"Vast tarief"),"")</f>
        <v/>
      </c>
      <c r="O1296" s="90"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0"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1"/>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59"/>
      <c r="Z1296" s="49"/>
      <c r="AA1296" s="37" t="str" cm="1">
        <f t="array" ref="AA1296">IFERROR(IF(INDEX(SubsidieTabel!$Q$1:$T$9,MATCH($F1296,SubsidieTabel!$Q$1:$Q$9,0),IFERROR(MATCH(Methode_Keuze,SubsidieTabel!$Q$1:$T$1,0),2))&lt;&gt;1=TRUE,"ja",""),"")</f>
        <v/>
      </c>
    </row>
    <row r="1297" spans="1:27" ht="15" customHeight="1" x14ac:dyDescent="0.25">
      <c r="A1297" s="85"/>
      <c r="B1297" s="217" t="str">
        <f>IF(A1297&lt;&gt;"",_xlfn.MAXIFS($B$1:B1296,$A$1:A1296,A1297)+1,"")</f>
        <v/>
      </c>
      <c r="C1297" s="50"/>
      <c r="D1297" s="50"/>
      <c r="E1297" s="50"/>
      <c r="F1297" s="50"/>
      <c r="G1297" s="280"/>
      <c r="H1297" s="293"/>
      <c r="I1297" s="292"/>
      <c r="J1297" s="292"/>
      <c r="K1297" s="200"/>
      <c r="L1297" s="200"/>
      <c r="M1297" s="89" t="str">
        <f>IFERROR(VLOOKUP(H1297,Lijsten!$H$1:$I$100,2,0),"")</f>
        <v/>
      </c>
      <c r="N1297" s="89" t="str" cm="1">
        <f t="array" ref="N1297">IFERROR(_xlfn.IFS(AND(LEFT(F1297,6)="Arbeid",RIGHT(F1297,3)&lt;&gt;"IKS"),IFERROR(VLOOKUP($G1297,Tb_KostenTypen[],2,0),"tarief"),RIGHT(F1297,3)="IKS","Uurtarief",LEFT(F1297,6)="Arbeid","Uurtarief",AND(LEFT(F1297,8)="Bijdrage",RIGHT(F1297,15)="(vrijwilligers)"),"Vast tarief"),"")</f>
        <v/>
      </c>
      <c r="O1297" s="90"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0"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1"/>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59"/>
      <c r="Z1297" s="49"/>
      <c r="AA1297" s="37" t="str" cm="1">
        <f t="array" ref="AA1297">IFERROR(IF(INDEX(SubsidieTabel!$Q$1:$T$9,MATCH($F1297,SubsidieTabel!$Q$1:$Q$9,0),IFERROR(MATCH(Methode_Keuze,SubsidieTabel!$Q$1:$T$1,0),2))&lt;&gt;1=TRUE,"ja",""),"")</f>
        <v/>
      </c>
    </row>
    <row r="1298" spans="1:27" ht="15" customHeight="1" x14ac:dyDescent="0.25">
      <c r="A1298" s="85"/>
      <c r="B1298" s="217" t="str">
        <f>IF(A1298&lt;&gt;"",_xlfn.MAXIFS($B$1:B1297,$A$1:A1297,A1298)+1,"")</f>
        <v/>
      </c>
      <c r="C1298" s="50"/>
      <c r="D1298" s="50"/>
      <c r="E1298" s="50"/>
      <c r="F1298" s="50"/>
      <c r="G1298" s="280"/>
      <c r="H1298" s="293"/>
      <c r="I1298" s="292"/>
      <c r="J1298" s="292"/>
      <c r="K1298" s="200"/>
      <c r="L1298" s="200"/>
      <c r="M1298" s="89" t="str">
        <f>IFERROR(VLOOKUP(H1298,Lijsten!$H$1:$I$100,2,0),"")</f>
        <v/>
      </c>
      <c r="N1298" s="89" t="str" cm="1">
        <f t="array" ref="N1298">IFERROR(_xlfn.IFS(AND(LEFT(F1298,6)="Arbeid",RIGHT(F1298,3)&lt;&gt;"IKS"),IFERROR(VLOOKUP($G1298,Tb_KostenTypen[],2,0),"tarief"),RIGHT(F1298,3)="IKS","Uurtarief",LEFT(F1298,6)="Arbeid","Uurtarief",AND(LEFT(F1298,8)="Bijdrage",RIGHT(F1298,15)="(vrijwilligers)"),"Vast tarief"),"")</f>
        <v/>
      </c>
      <c r="O1298" s="90"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0"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1"/>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59"/>
      <c r="Z1298" s="49"/>
      <c r="AA1298" s="37" t="str" cm="1">
        <f t="array" ref="AA1298">IFERROR(IF(INDEX(SubsidieTabel!$Q$1:$T$9,MATCH($F1298,SubsidieTabel!$Q$1:$Q$9,0),IFERROR(MATCH(Methode_Keuze,SubsidieTabel!$Q$1:$T$1,0),2))&lt;&gt;1=TRUE,"ja",""),"")</f>
        <v/>
      </c>
    </row>
    <row r="1299" spans="1:27" ht="15" customHeight="1" x14ac:dyDescent="0.25">
      <c r="A1299" s="85"/>
      <c r="B1299" s="217" t="str">
        <f>IF(A1299&lt;&gt;"",_xlfn.MAXIFS($B$1:B1298,$A$1:A1298,A1299)+1,"")</f>
        <v/>
      </c>
      <c r="C1299" s="50"/>
      <c r="D1299" s="50"/>
      <c r="E1299" s="50"/>
      <c r="F1299" s="50"/>
      <c r="G1299" s="280"/>
      <c r="H1299" s="293"/>
      <c r="I1299" s="292"/>
      <c r="J1299" s="292"/>
      <c r="K1299" s="200"/>
      <c r="L1299" s="200"/>
      <c r="M1299" s="89" t="str">
        <f>IFERROR(VLOOKUP(H1299,Lijsten!$H$1:$I$100,2,0),"")</f>
        <v/>
      </c>
      <c r="N1299" s="89" t="str" cm="1">
        <f t="array" ref="N1299">IFERROR(_xlfn.IFS(AND(LEFT(F1299,6)="Arbeid",RIGHT(F1299,3)&lt;&gt;"IKS"),IFERROR(VLOOKUP($G1299,Tb_KostenTypen[],2,0),"tarief"),RIGHT(F1299,3)="IKS","Uurtarief",LEFT(F1299,6)="Arbeid","Uurtarief",AND(LEFT(F1299,8)="Bijdrage",RIGHT(F1299,15)="(vrijwilligers)"),"Vast tarief"),"")</f>
        <v/>
      </c>
      <c r="O1299" s="90"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0"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1"/>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59"/>
      <c r="Z1299" s="49"/>
      <c r="AA1299" s="37" t="str" cm="1">
        <f t="array" ref="AA1299">IFERROR(IF(INDEX(SubsidieTabel!$Q$1:$T$9,MATCH($F1299,SubsidieTabel!$Q$1:$Q$9,0),IFERROR(MATCH(Methode_Keuze,SubsidieTabel!$Q$1:$T$1,0),2))&lt;&gt;1=TRUE,"ja",""),"")</f>
        <v/>
      </c>
    </row>
    <row r="1300" spans="1:27" ht="15" customHeight="1" x14ac:dyDescent="0.25">
      <c r="A1300" s="85"/>
      <c r="B1300" s="217" t="str">
        <f>IF(A1300&lt;&gt;"",_xlfn.MAXIFS($B$1:B1299,$A$1:A1299,A1300)+1,"")</f>
        <v/>
      </c>
      <c r="C1300" s="50"/>
      <c r="D1300" s="50"/>
      <c r="E1300" s="50"/>
      <c r="F1300" s="50"/>
      <c r="G1300" s="280"/>
      <c r="H1300" s="293"/>
      <c r="I1300" s="292"/>
      <c r="J1300" s="292"/>
      <c r="K1300" s="200"/>
      <c r="L1300" s="200"/>
      <c r="M1300" s="89" t="str">
        <f>IFERROR(VLOOKUP(H1300,Lijsten!$H$1:$I$100,2,0),"")</f>
        <v/>
      </c>
      <c r="N1300" s="89" t="str" cm="1">
        <f t="array" ref="N1300">IFERROR(_xlfn.IFS(AND(LEFT(F1300,6)="Arbeid",RIGHT(F1300,3)&lt;&gt;"IKS"),IFERROR(VLOOKUP($G1300,Tb_KostenTypen[],2,0),"tarief"),RIGHT(F1300,3)="IKS","Uurtarief",LEFT(F1300,6)="Arbeid","Uurtarief",AND(LEFT(F1300,8)="Bijdrage",RIGHT(F1300,15)="(vrijwilligers)"),"Vast tarief"),"")</f>
        <v/>
      </c>
      <c r="O1300" s="90"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0"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1"/>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59"/>
      <c r="Z1300" s="49"/>
      <c r="AA1300" s="37" t="str" cm="1">
        <f t="array" ref="AA1300">IFERROR(IF(INDEX(SubsidieTabel!$Q$1:$T$9,MATCH($F1300,SubsidieTabel!$Q$1:$Q$9,0),IFERROR(MATCH(Methode_Keuze,SubsidieTabel!$Q$1:$T$1,0),2))&lt;&gt;1=TRUE,"ja",""),"")</f>
        <v/>
      </c>
    </row>
    <row r="1301" spans="1:27" ht="15" customHeight="1" x14ac:dyDescent="0.25">
      <c r="A1301" s="85"/>
      <c r="B1301" s="217" t="str">
        <f>IF(A1301&lt;&gt;"",_xlfn.MAXIFS($B$1:B1300,$A$1:A1300,A1301)+1,"")</f>
        <v/>
      </c>
      <c r="C1301" s="50"/>
      <c r="D1301" s="50"/>
      <c r="E1301" s="50"/>
      <c r="F1301" s="50"/>
      <c r="G1301" s="280"/>
      <c r="H1301" s="293"/>
      <c r="I1301" s="292"/>
      <c r="J1301" s="292"/>
      <c r="K1301" s="200"/>
      <c r="L1301" s="200"/>
      <c r="M1301" s="89" t="str">
        <f>IFERROR(VLOOKUP(H1301,Lijsten!$H$1:$I$100,2,0),"")</f>
        <v/>
      </c>
      <c r="N1301" s="89" t="str" cm="1">
        <f t="array" ref="N1301">IFERROR(_xlfn.IFS(AND(LEFT(F1301,6)="Arbeid",RIGHT(F1301,3)&lt;&gt;"IKS"),IFERROR(VLOOKUP($G1301,Tb_KostenTypen[],2,0),"tarief"),RIGHT(F1301,3)="IKS","Uurtarief",LEFT(F1301,6)="Arbeid","Uurtarief",AND(LEFT(F1301,8)="Bijdrage",RIGHT(F1301,15)="(vrijwilligers)"),"Vast tarief"),"")</f>
        <v/>
      </c>
      <c r="O1301" s="90"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0"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1"/>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59"/>
      <c r="Z1301" s="49"/>
      <c r="AA1301" s="37" t="str" cm="1">
        <f t="array" ref="AA1301">IFERROR(IF(INDEX(SubsidieTabel!$Q$1:$T$9,MATCH($F1301,SubsidieTabel!$Q$1:$Q$9,0),IFERROR(MATCH(Methode_Keuze,SubsidieTabel!$Q$1:$T$1,0),2))&lt;&gt;1=TRUE,"ja",""),"")</f>
        <v/>
      </c>
    </row>
    <row r="1302" spans="1:27" ht="15" customHeight="1" x14ac:dyDescent="0.25">
      <c r="A1302" s="85"/>
      <c r="B1302" s="217" t="str">
        <f>IF(A1302&lt;&gt;"",_xlfn.MAXIFS($B$1:B1301,$A$1:A1301,A1302)+1,"")</f>
        <v/>
      </c>
      <c r="C1302" s="50"/>
      <c r="D1302" s="50"/>
      <c r="E1302" s="50"/>
      <c r="F1302" s="50"/>
      <c r="G1302" s="280"/>
      <c r="H1302" s="293"/>
      <c r="I1302" s="292"/>
      <c r="J1302" s="292"/>
      <c r="K1302" s="200"/>
      <c r="L1302" s="200"/>
      <c r="M1302" s="89" t="str">
        <f>IFERROR(VLOOKUP(H1302,Lijsten!$H$1:$I$100,2,0),"")</f>
        <v/>
      </c>
      <c r="N1302" s="89" t="str" cm="1">
        <f t="array" ref="N1302">IFERROR(_xlfn.IFS(AND(LEFT(F1302,6)="Arbeid",RIGHT(F1302,3)&lt;&gt;"IKS"),IFERROR(VLOOKUP($G1302,Tb_KostenTypen[],2,0),"tarief"),RIGHT(F1302,3)="IKS","Uurtarief",LEFT(F1302,6)="Arbeid","Uurtarief",AND(LEFT(F1302,8)="Bijdrage",RIGHT(F1302,15)="(vrijwilligers)"),"Vast tarief"),"")</f>
        <v/>
      </c>
      <c r="O1302" s="90"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0"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1"/>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59"/>
      <c r="Z1302" s="49"/>
      <c r="AA1302" s="37" t="str" cm="1">
        <f t="array" ref="AA1302">IFERROR(IF(INDEX(SubsidieTabel!$Q$1:$T$9,MATCH($F1302,SubsidieTabel!$Q$1:$Q$9,0),IFERROR(MATCH(Methode_Keuze,SubsidieTabel!$Q$1:$T$1,0),2))&lt;&gt;1=TRUE,"ja",""),"")</f>
        <v/>
      </c>
    </row>
    <row r="1303" spans="1:27" ht="15" customHeight="1" x14ac:dyDescent="0.25">
      <c r="A1303" s="85"/>
      <c r="B1303" s="217" t="str">
        <f>IF(A1303&lt;&gt;"",_xlfn.MAXIFS($B$1:B1302,$A$1:A1302,A1303)+1,"")</f>
        <v/>
      </c>
      <c r="C1303" s="50"/>
      <c r="D1303" s="50"/>
      <c r="E1303" s="50"/>
      <c r="F1303" s="50"/>
      <c r="G1303" s="280"/>
      <c r="H1303" s="293"/>
      <c r="I1303" s="292"/>
      <c r="J1303" s="292"/>
      <c r="K1303" s="200"/>
      <c r="L1303" s="200"/>
      <c r="M1303" s="89" t="str">
        <f>IFERROR(VLOOKUP(H1303,Lijsten!$H$1:$I$100,2,0),"")</f>
        <v/>
      </c>
      <c r="N1303" s="89" t="str" cm="1">
        <f t="array" ref="N1303">IFERROR(_xlfn.IFS(AND(LEFT(F1303,6)="Arbeid",RIGHT(F1303,3)&lt;&gt;"IKS"),IFERROR(VLOOKUP($G1303,Tb_KostenTypen[],2,0),"tarief"),RIGHT(F1303,3)="IKS","Uurtarief",LEFT(F1303,6)="Arbeid","Uurtarief",AND(LEFT(F1303,8)="Bijdrage",RIGHT(F1303,15)="(vrijwilligers)"),"Vast tarief"),"")</f>
        <v/>
      </c>
      <c r="O1303" s="90"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0"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1"/>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59"/>
      <c r="Z1303" s="49"/>
      <c r="AA1303" s="37" t="str" cm="1">
        <f t="array" ref="AA1303">IFERROR(IF(INDEX(SubsidieTabel!$Q$1:$T$9,MATCH($F1303,SubsidieTabel!$Q$1:$Q$9,0),IFERROR(MATCH(Methode_Keuze,SubsidieTabel!$Q$1:$T$1,0),2))&lt;&gt;1=TRUE,"ja",""),"")</f>
        <v/>
      </c>
    </row>
    <row r="1304" spans="1:27" ht="15" customHeight="1" x14ac:dyDescent="0.25">
      <c r="A1304" s="85"/>
      <c r="B1304" s="217" t="str">
        <f>IF(A1304&lt;&gt;"",_xlfn.MAXIFS($B$1:B1303,$A$1:A1303,A1304)+1,"")</f>
        <v/>
      </c>
      <c r="C1304" s="50"/>
      <c r="D1304" s="50"/>
      <c r="E1304" s="50"/>
      <c r="F1304" s="50"/>
      <c r="G1304" s="280"/>
      <c r="H1304" s="293"/>
      <c r="I1304" s="292"/>
      <c r="J1304" s="292"/>
      <c r="K1304" s="200"/>
      <c r="L1304" s="200"/>
      <c r="M1304" s="89" t="str">
        <f>IFERROR(VLOOKUP(H1304,Lijsten!$H$1:$I$100,2,0),"")</f>
        <v/>
      </c>
      <c r="N1304" s="89" t="str" cm="1">
        <f t="array" ref="N1304">IFERROR(_xlfn.IFS(AND(LEFT(F1304,6)="Arbeid",RIGHT(F1304,3)&lt;&gt;"IKS"),IFERROR(VLOOKUP($G1304,Tb_KostenTypen[],2,0),"tarief"),RIGHT(F1304,3)="IKS","Uurtarief",LEFT(F1304,6)="Arbeid","Uurtarief",AND(LEFT(F1304,8)="Bijdrage",RIGHT(F1304,15)="(vrijwilligers)"),"Vast tarief"),"")</f>
        <v/>
      </c>
      <c r="O1304" s="90"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0"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1"/>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59"/>
      <c r="Z1304" s="49"/>
      <c r="AA1304" s="37" t="str" cm="1">
        <f t="array" ref="AA1304">IFERROR(IF(INDEX(SubsidieTabel!$Q$1:$T$9,MATCH($F1304,SubsidieTabel!$Q$1:$Q$9,0),IFERROR(MATCH(Methode_Keuze,SubsidieTabel!$Q$1:$T$1,0),2))&lt;&gt;1=TRUE,"ja",""),"")</f>
        <v/>
      </c>
    </row>
    <row r="1305" spans="1:27" ht="15" customHeight="1" x14ac:dyDescent="0.25">
      <c r="A1305" s="85"/>
      <c r="B1305" s="217" t="str">
        <f>IF(A1305&lt;&gt;"",_xlfn.MAXIFS($B$1:B1304,$A$1:A1304,A1305)+1,"")</f>
        <v/>
      </c>
      <c r="C1305" s="50"/>
      <c r="D1305" s="50"/>
      <c r="E1305" s="50"/>
      <c r="F1305" s="50"/>
      <c r="G1305" s="280"/>
      <c r="H1305" s="293"/>
      <c r="I1305" s="292"/>
      <c r="J1305" s="292"/>
      <c r="K1305" s="200"/>
      <c r="L1305" s="200"/>
      <c r="M1305" s="89" t="str">
        <f>IFERROR(VLOOKUP(H1305,Lijsten!$H$1:$I$100,2,0),"")</f>
        <v/>
      </c>
      <c r="N1305" s="89" t="str" cm="1">
        <f t="array" ref="N1305">IFERROR(_xlfn.IFS(AND(LEFT(F1305,6)="Arbeid",RIGHT(F1305,3)&lt;&gt;"IKS"),IFERROR(VLOOKUP($G1305,Tb_KostenTypen[],2,0),"tarief"),RIGHT(F1305,3)="IKS","Uurtarief",LEFT(F1305,6)="Arbeid","Uurtarief",AND(LEFT(F1305,8)="Bijdrage",RIGHT(F1305,15)="(vrijwilligers)"),"Vast tarief"),"")</f>
        <v/>
      </c>
      <c r="O1305" s="90"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0"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1"/>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59"/>
      <c r="Z1305" s="49"/>
      <c r="AA1305" s="37" t="str" cm="1">
        <f t="array" ref="AA1305">IFERROR(IF(INDEX(SubsidieTabel!$Q$1:$T$9,MATCH($F1305,SubsidieTabel!$Q$1:$Q$9,0),IFERROR(MATCH(Methode_Keuze,SubsidieTabel!$Q$1:$T$1,0),2))&lt;&gt;1=TRUE,"ja",""),"")</f>
        <v/>
      </c>
    </row>
    <row r="1306" spans="1:27" ht="15" customHeight="1" x14ac:dyDescent="0.25">
      <c r="A1306" s="85"/>
      <c r="B1306" s="217" t="str">
        <f>IF(A1306&lt;&gt;"",_xlfn.MAXIFS($B$1:B1305,$A$1:A1305,A1306)+1,"")</f>
        <v/>
      </c>
      <c r="C1306" s="50"/>
      <c r="D1306" s="50"/>
      <c r="E1306" s="50"/>
      <c r="F1306" s="50"/>
      <c r="G1306" s="280"/>
      <c r="H1306" s="293"/>
      <c r="I1306" s="292"/>
      <c r="J1306" s="292"/>
      <c r="K1306" s="200"/>
      <c r="L1306" s="200"/>
      <c r="M1306" s="89" t="str">
        <f>IFERROR(VLOOKUP(H1306,Lijsten!$H$1:$I$100,2,0),"")</f>
        <v/>
      </c>
      <c r="N1306" s="89" t="str" cm="1">
        <f t="array" ref="N1306">IFERROR(_xlfn.IFS(AND(LEFT(F1306,6)="Arbeid",RIGHT(F1306,3)&lt;&gt;"IKS"),IFERROR(VLOOKUP($G1306,Tb_KostenTypen[],2,0),"tarief"),RIGHT(F1306,3)="IKS","Uurtarief",LEFT(F1306,6)="Arbeid","Uurtarief",AND(LEFT(F1306,8)="Bijdrage",RIGHT(F1306,15)="(vrijwilligers)"),"Vast tarief"),"")</f>
        <v/>
      </c>
      <c r="O1306" s="90"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0"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1"/>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59"/>
      <c r="Z1306" s="49"/>
      <c r="AA1306" s="37" t="str" cm="1">
        <f t="array" ref="AA1306">IFERROR(IF(INDEX(SubsidieTabel!$Q$1:$T$9,MATCH($F1306,SubsidieTabel!$Q$1:$Q$9,0),IFERROR(MATCH(Methode_Keuze,SubsidieTabel!$Q$1:$T$1,0),2))&lt;&gt;1=TRUE,"ja",""),"")</f>
        <v/>
      </c>
    </row>
    <row r="1307" spans="1:27" ht="15" customHeight="1" x14ac:dyDescent="0.25">
      <c r="A1307" s="85"/>
      <c r="B1307" s="217" t="str">
        <f>IF(A1307&lt;&gt;"",_xlfn.MAXIFS($B$1:B1306,$A$1:A1306,A1307)+1,"")</f>
        <v/>
      </c>
      <c r="C1307" s="50"/>
      <c r="D1307" s="50"/>
      <c r="E1307" s="50"/>
      <c r="F1307" s="50"/>
      <c r="G1307" s="280"/>
      <c r="H1307" s="293"/>
      <c r="I1307" s="292"/>
      <c r="J1307" s="292"/>
      <c r="K1307" s="200"/>
      <c r="L1307" s="200"/>
      <c r="M1307" s="89" t="str">
        <f>IFERROR(VLOOKUP(H1307,Lijsten!$H$1:$I$100,2,0),"")</f>
        <v/>
      </c>
      <c r="N1307" s="89" t="str" cm="1">
        <f t="array" ref="N1307">IFERROR(_xlfn.IFS(AND(LEFT(F1307,6)="Arbeid",RIGHT(F1307,3)&lt;&gt;"IKS"),IFERROR(VLOOKUP($G1307,Tb_KostenTypen[],2,0),"tarief"),RIGHT(F1307,3)="IKS","Uurtarief",LEFT(F1307,6)="Arbeid","Uurtarief",AND(LEFT(F1307,8)="Bijdrage",RIGHT(F1307,15)="(vrijwilligers)"),"Vast tarief"),"")</f>
        <v/>
      </c>
      <c r="O1307" s="90"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0"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1"/>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59"/>
      <c r="Z1307" s="49"/>
      <c r="AA1307" s="37" t="str" cm="1">
        <f t="array" ref="AA1307">IFERROR(IF(INDEX(SubsidieTabel!$Q$1:$T$9,MATCH($F1307,SubsidieTabel!$Q$1:$Q$9,0),IFERROR(MATCH(Methode_Keuze,SubsidieTabel!$Q$1:$T$1,0),2))&lt;&gt;1=TRUE,"ja",""),"")</f>
        <v/>
      </c>
    </row>
    <row r="1308" spans="1:27" ht="15" customHeight="1" x14ac:dyDescent="0.25">
      <c r="A1308" s="85"/>
      <c r="B1308" s="217" t="str">
        <f>IF(A1308&lt;&gt;"",_xlfn.MAXIFS($B$1:B1307,$A$1:A1307,A1308)+1,"")</f>
        <v/>
      </c>
      <c r="C1308" s="50"/>
      <c r="D1308" s="50"/>
      <c r="E1308" s="50"/>
      <c r="F1308" s="50"/>
      <c r="G1308" s="280"/>
      <c r="H1308" s="293"/>
      <c r="I1308" s="292"/>
      <c r="J1308" s="292"/>
      <c r="K1308" s="200"/>
      <c r="L1308" s="200"/>
      <c r="M1308" s="89" t="str">
        <f>IFERROR(VLOOKUP(H1308,Lijsten!$H$1:$I$100,2,0),"")</f>
        <v/>
      </c>
      <c r="N1308" s="89" t="str" cm="1">
        <f t="array" ref="N1308">IFERROR(_xlfn.IFS(AND(LEFT(F1308,6)="Arbeid",RIGHT(F1308,3)&lt;&gt;"IKS"),IFERROR(VLOOKUP($G1308,Tb_KostenTypen[],2,0),"tarief"),RIGHT(F1308,3)="IKS","Uurtarief",LEFT(F1308,6)="Arbeid","Uurtarief",AND(LEFT(F1308,8)="Bijdrage",RIGHT(F1308,15)="(vrijwilligers)"),"Vast tarief"),"")</f>
        <v/>
      </c>
      <c r="O1308" s="90"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0"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1"/>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59"/>
      <c r="Z1308" s="49"/>
      <c r="AA1308" s="37" t="str" cm="1">
        <f t="array" ref="AA1308">IFERROR(IF(INDEX(SubsidieTabel!$Q$1:$T$9,MATCH($F1308,SubsidieTabel!$Q$1:$Q$9,0),IFERROR(MATCH(Methode_Keuze,SubsidieTabel!$Q$1:$T$1,0),2))&lt;&gt;1=TRUE,"ja",""),"")</f>
        <v/>
      </c>
    </row>
    <row r="1309" spans="1:27" ht="15" customHeight="1" x14ac:dyDescent="0.25">
      <c r="A1309" s="85"/>
      <c r="B1309" s="217" t="str">
        <f>IF(A1309&lt;&gt;"",_xlfn.MAXIFS($B$1:B1308,$A$1:A1308,A1309)+1,"")</f>
        <v/>
      </c>
      <c r="C1309" s="50"/>
      <c r="D1309" s="50"/>
      <c r="E1309" s="50"/>
      <c r="F1309" s="50"/>
      <c r="G1309" s="280"/>
      <c r="H1309" s="293"/>
      <c r="I1309" s="292"/>
      <c r="J1309" s="292"/>
      <c r="K1309" s="200"/>
      <c r="L1309" s="200"/>
      <c r="M1309" s="89" t="str">
        <f>IFERROR(VLOOKUP(H1309,Lijsten!$H$1:$I$100,2,0),"")</f>
        <v/>
      </c>
      <c r="N1309" s="89" t="str" cm="1">
        <f t="array" ref="N1309">IFERROR(_xlfn.IFS(AND(LEFT(F1309,6)="Arbeid",RIGHT(F1309,3)&lt;&gt;"IKS"),IFERROR(VLOOKUP($G1309,Tb_KostenTypen[],2,0),"tarief"),RIGHT(F1309,3)="IKS","Uurtarief",LEFT(F1309,6)="Arbeid","Uurtarief",AND(LEFT(F1309,8)="Bijdrage",RIGHT(F1309,15)="(vrijwilligers)"),"Vast tarief"),"")</f>
        <v/>
      </c>
      <c r="O1309" s="90"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0"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1"/>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59"/>
      <c r="Z1309" s="49"/>
      <c r="AA1309" s="37" t="str" cm="1">
        <f t="array" ref="AA1309">IFERROR(IF(INDEX(SubsidieTabel!$Q$1:$T$9,MATCH($F1309,SubsidieTabel!$Q$1:$Q$9,0),IFERROR(MATCH(Methode_Keuze,SubsidieTabel!$Q$1:$T$1,0),2))&lt;&gt;1=TRUE,"ja",""),"")</f>
        <v/>
      </c>
    </row>
    <row r="1310" spans="1:27" ht="15" customHeight="1" x14ac:dyDescent="0.25">
      <c r="A1310" s="85"/>
      <c r="B1310" s="217" t="str">
        <f>IF(A1310&lt;&gt;"",_xlfn.MAXIFS($B$1:B1309,$A$1:A1309,A1310)+1,"")</f>
        <v/>
      </c>
      <c r="C1310" s="50"/>
      <c r="D1310" s="50"/>
      <c r="E1310" s="50"/>
      <c r="F1310" s="50"/>
      <c r="G1310" s="280"/>
      <c r="H1310" s="293"/>
      <c r="I1310" s="292"/>
      <c r="J1310" s="292"/>
      <c r="K1310" s="200"/>
      <c r="L1310" s="200"/>
      <c r="M1310" s="89" t="str">
        <f>IFERROR(VLOOKUP(H1310,Lijsten!$H$1:$I$100,2,0),"")</f>
        <v/>
      </c>
      <c r="N1310" s="89" t="str" cm="1">
        <f t="array" ref="N1310">IFERROR(_xlfn.IFS(AND(LEFT(F1310,6)="Arbeid",RIGHT(F1310,3)&lt;&gt;"IKS"),IFERROR(VLOOKUP($G1310,Tb_KostenTypen[],2,0),"tarief"),RIGHT(F1310,3)="IKS","Uurtarief",LEFT(F1310,6)="Arbeid","Uurtarief",AND(LEFT(F1310,8)="Bijdrage",RIGHT(F1310,15)="(vrijwilligers)"),"Vast tarief"),"")</f>
        <v/>
      </c>
      <c r="O1310" s="90"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0"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1"/>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59"/>
      <c r="Z1310" s="49"/>
      <c r="AA1310" s="37" t="str" cm="1">
        <f t="array" ref="AA1310">IFERROR(IF(INDEX(SubsidieTabel!$Q$1:$T$9,MATCH($F1310,SubsidieTabel!$Q$1:$Q$9,0),IFERROR(MATCH(Methode_Keuze,SubsidieTabel!$Q$1:$T$1,0),2))&lt;&gt;1=TRUE,"ja",""),"")</f>
        <v/>
      </c>
    </row>
    <row r="1311" spans="1:27" ht="15" customHeight="1" x14ac:dyDescent="0.25">
      <c r="A1311" s="85"/>
      <c r="B1311" s="217" t="str">
        <f>IF(A1311&lt;&gt;"",_xlfn.MAXIFS($B$1:B1310,$A$1:A1310,A1311)+1,"")</f>
        <v/>
      </c>
      <c r="C1311" s="50"/>
      <c r="D1311" s="50"/>
      <c r="E1311" s="50"/>
      <c r="F1311" s="50"/>
      <c r="G1311" s="280"/>
      <c r="H1311" s="293"/>
      <c r="I1311" s="292"/>
      <c r="J1311" s="292"/>
      <c r="K1311" s="200"/>
      <c r="L1311" s="200"/>
      <c r="M1311" s="89" t="str">
        <f>IFERROR(VLOOKUP(H1311,Lijsten!$H$1:$I$100,2,0),"")</f>
        <v/>
      </c>
      <c r="N1311" s="89" t="str" cm="1">
        <f t="array" ref="N1311">IFERROR(_xlfn.IFS(AND(LEFT(F1311,6)="Arbeid",RIGHT(F1311,3)&lt;&gt;"IKS"),IFERROR(VLOOKUP($G1311,Tb_KostenTypen[],2,0),"tarief"),RIGHT(F1311,3)="IKS","Uurtarief",LEFT(F1311,6)="Arbeid","Uurtarief",AND(LEFT(F1311,8)="Bijdrage",RIGHT(F1311,15)="(vrijwilligers)"),"Vast tarief"),"")</f>
        <v/>
      </c>
      <c r="O1311" s="90"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0"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1"/>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59"/>
      <c r="Z1311" s="49"/>
      <c r="AA1311" s="37" t="str" cm="1">
        <f t="array" ref="AA1311">IFERROR(IF(INDEX(SubsidieTabel!$Q$1:$T$9,MATCH($F1311,SubsidieTabel!$Q$1:$Q$9,0),IFERROR(MATCH(Methode_Keuze,SubsidieTabel!$Q$1:$T$1,0),2))&lt;&gt;1=TRUE,"ja",""),"")</f>
        <v/>
      </c>
    </row>
    <row r="1312" spans="1:27" ht="15" customHeight="1" x14ac:dyDescent="0.25">
      <c r="A1312" s="85"/>
      <c r="B1312" s="217" t="str">
        <f>IF(A1312&lt;&gt;"",_xlfn.MAXIFS($B$1:B1311,$A$1:A1311,A1312)+1,"")</f>
        <v/>
      </c>
      <c r="C1312" s="50"/>
      <c r="D1312" s="50"/>
      <c r="E1312" s="50"/>
      <c r="F1312" s="50"/>
      <c r="G1312" s="280"/>
      <c r="H1312" s="293"/>
      <c r="I1312" s="292"/>
      <c r="J1312" s="292"/>
      <c r="K1312" s="200"/>
      <c r="L1312" s="200"/>
      <c r="M1312" s="89" t="str">
        <f>IFERROR(VLOOKUP(H1312,Lijsten!$H$1:$I$100,2,0),"")</f>
        <v/>
      </c>
      <c r="N1312" s="89" t="str" cm="1">
        <f t="array" ref="N1312">IFERROR(_xlfn.IFS(AND(LEFT(F1312,6)="Arbeid",RIGHT(F1312,3)&lt;&gt;"IKS"),IFERROR(VLOOKUP($G1312,Tb_KostenTypen[],2,0),"tarief"),RIGHT(F1312,3)="IKS","Uurtarief",LEFT(F1312,6)="Arbeid","Uurtarief",AND(LEFT(F1312,8)="Bijdrage",RIGHT(F1312,15)="(vrijwilligers)"),"Vast tarief"),"")</f>
        <v/>
      </c>
      <c r="O1312" s="90"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0"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1"/>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59"/>
      <c r="Z1312" s="49"/>
      <c r="AA1312" s="37" t="str" cm="1">
        <f t="array" ref="AA1312">IFERROR(IF(INDEX(SubsidieTabel!$Q$1:$T$9,MATCH($F1312,SubsidieTabel!$Q$1:$Q$9,0),IFERROR(MATCH(Methode_Keuze,SubsidieTabel!$Q$1:$T$1,0),2))&lt;&gt;1=TRUE,"ja",""),"")</f>
        <v/>
      </c>
    </row>
    <row r="1313" spans="1:27" ht="15" customHeight="1" x14ac:dyDescent="0.25">
      <c r="A1313" s="85"/>
      <c r="B1313" s="217" t="str">
        <f>IF(A1313&lt;&gt;"",_xlfn.MAXIFS($B$1:B1312,$A$1:A1312,A1313)+1,"")</f>
        <v/>
      </c>
      <c r="C1313" s="50"/>
      <c r="D1313" s="50"/>
      <c r="E1313" s="50"/>
      <c r="F1313" s="50"/>
      <c r="G1313" s="280"/>
      <c r="H1313" s="293"/>
      <c r="I1313" s="292"/>
      <c r="J1313" s="292"/>
      <c r="K1313" s="200"/>
      <c r="L1313" s="200"/>
      <c r="M1313" s="89" t="str">
        <f>IFERROR(VLOOKUP(H1313,Lijsten!$H$1:$I$100,2,0),"")</f>
        <v/>
      </c>
      <c r="N1313" s="89" t="str" cm="1">
        <f t="array" ref="N1313">IFERROR(_xlfn.IFS(AND(LEFT(F1313,6)="Arbeid",RIGHT(F1313,3)&lt;&gt;"IKS"),IFERROR(VLOOKUP($G1313,Tb_KostenTypen[],2,0),"tarief"),RIGHT(F1313,3)="IKS","Uurtarief",LEFT(F1313,6)="Arbeid","Uurtarief",AND(LEFT(F1313,8)="Bijdrage",RIGHT(F1313,15)="(vrijwilligers)"),"Vast tarief"),"")</f>
        <v/>
      </c>
      <c r="O1313" s="90"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0"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1"/>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59"/>
      <c r="Z1313" s="49"/>
      <c r="AA1313" s="37" t="str" cm="1">
        <f t="array" ref="AA1313">IFERROR(IF(INDEX(SubsidieTabel!$Q$1:$T$9,MATCH($F1313,SubsidieTabel!$Q$1:$Q$9,0),IFERROR(MATCH(Methode_Keuze,SubsidieTabel!$Q$1:$T$1,0),2))&lt;&gt;1=TRUE,"ja",""),"")</f>
        <v/>
      </c>
    </row>
    <row r="1314" spans="1:27" ht="15" customHeight="1" x14ac:dyDescent="0.25">
      <c r="A1314" s="85"/>
      <c r="B1314" s="217" t="str">
        <f>IF(A1314&lt;&gt;"",_xlfn.MAXIFS($B$1:B1313,$A$1:A1313,A1314)+1,"")</f>
        <v/>
      </c>
      <c r="C1314" s="50"/>
      <c r="D1314" s="50"/>
      <c r="E1314" s="50"/>
      <c r="F1314" s="50"/>
      <c r="G1314" s="280"/>
      <c r="H1314" s="293"/>
      <c r="I1314" s="292"/>
      <c r="J1314" s="292"/>
      <c r="K1314" s="200"/>
      <c r="L1314" s="200"/>
      <c r="M1314" s="89" t="str">
        <f>IFERROR(VLOOKUP(H1314,Lijsten!$H$1:$I$100,2,0),"")</f>
        <v/>
      </c>
      <c r="N1314" s="89" t="str" cm="1">
        <f t="array" ref="N1314">IFERROR(_xlfn.IFS(AND(LEFT(F1314,6)="Arbeid",RIGHT(F1314,3)&lt;&gt;"IKS"),IFERROR(VLOOKUP($G1314,Tb_KostenTypen[],2,0),"tarief"),RIGHT(F1314,3)="IKS","Uurtarief",LEFT(F1314,6)="Arbeid","Uurtarief",AND(LEFT(F1314,8)="Bijdrage",RIGHT(F1314,15)="(vrijwilligers)"),"Vast tarief"),"")</f>
        <v/>
      </c>
      <c r="O1314" s="90"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0"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1"/>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59"/>
      <c r="Z1314" s="49"/>
      <c r="AA1314" s="37" t="str" cm="1">
        <f t="array" ref="AA1314">IFERROR(IF(INDEX(SubsidieTabel!$Q$1:$T$9,MATCH($F1314,SubsidieTabel!$Q$1:$Q$9,0),IFERROR(MATCH(Methode_Keuze,SubsidieTabel!$Q$1:$T$1,0),2))&lt;&gt;1=TRUE,"ja",""),"")</f>
        <v/>
      </c>
    </row>
    <row r="1315" spans="1:27" ht="15" customHeight="1" x14ac:dyDescent="0.25">
      <c r="A1315" s="85"/>
      <c r="B1315" s="217" t="str">
        <f>IF(A1315&lt;&gt;"",_xlfn.MAXIFS($B$1:B1314,$A$1:A1314,A1315)+1,"")</f>
        <v/>
      </c>
      <c r="C1315" s="50"/>
      <c r="D1315" s="50"/>
      <c r="E1315" s="50"/>
      <c r="F1315" s="50"/>
      <c r="G1315" s="280"/>
      <c r="H1315" s="293"/>
      <c r="I1315" s="292"/>
      <c r="J1315" s="292"/>
      <c r="K1315" s="200"/>
      <c r="L1315" s="200"/>
      <c r="M1315" s="89" t="str">
        <f>IFERROR(VLOOKUP(H1315,Lijsten!$H$1:$I$100,2,0),"")</f>
        <v/>
      </c>
      <c r="N1315" s="89" t="str" cm="1">
        <f t="array" ref="N1315">IFERROR(_xlfn.IFS(AND(LEFT(F1315,6)="Arbeid",RIGHT(F1315,3)&lt;&gt;"IKS"),IFERROR(VLOOKUP($G1315,Tb_KostenTypen[],2,0),"tarief"),RIGHT(F1315,3)="IKS","Uurtarief",LEFT(F1315,6)="Arbeid","Uurtarief",AND(LEFT(F1315,8)="Bijdrage",RIGHT(F1315,15)="(vrijwilligers)"),"Vast tarief"),"")</f>
        <v/>
      </c>
      <c r="O1315" s="90"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0"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1"/>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59"/>
      <c r="Z1315" s="49"/>
      <c r="AA1315" s="37" t="str" cm="1">
        <f t="array" ref="AA1315">IFERROR(IF(INDEX(SubsidieTabel!$Q$1:$T$9,MATCH($F1315,SubsidieTabel!$Q$1:$Q$9,0),IFERROR(MATCH(Methode_Keuze,SubsidieTabel!$Q$1:$T$1,0),2))&lt;&gt;1=TRUE,"ja",""),"")</f>
        <v/>
      </c>
    </row>
    <row r="1316" spans="1:27" ht="15" customHeight="1" x14ac:dyDescent="0.25">
      <c r="A1316" s="85"/>
      <c r="B1316" s="217" t="str">
        <f>IF(A1316&lt;&gt;"",_xlfn.MAXIFS($B$1:B1315,$A$1:A1315,A1316)+1,"")</f>
        <v/>
      </c>
      <c r="C1316" s="50"/>
      <c r="D1316" s="50"/>
      <c r="E1316" s="50"/>
      <c r="F1316" s="50"/>
      <c r="G1316" s="280"/>
      <c r="H1316" s="293"/>
      <c r="I1316" s="292"/>
      <c r="J1316" s="292"/>
      <c r="K1316" s="200"/>
      <c r="L1316" s="200"/>
      <c r="M1316" s="89" t="str">
        <f>IFERROR(VLOOKUP(H1316,Lijsten!$H$1:$I$100,2,0),"")</f>
        <v/>
      </c>
      <c r="N1316" s="89" t="str" cm="1">
        <f t="array" ref="N1316">IFERROR(_xlfn.IFS(AND(LEFT(F1316,6)="Arbeid",RIGHT(F1316,3)&lt;&gt;"IKS"),IFERROR(VLOOKUP($G1316,Tb_KostenTypen[],2,0),"tarief"),RIGHT(F1316,3)="IKS","Uurtarief",LEFT(F1316,6)="Arbeid","Uurtarief",AND(LEFT(F1316,8)="Bijdrage",RIGHT(F1316,15)="(vrijwilligers)"),"Vast tarief"),"")</f>
        <v/>
      </c>
      <c r="O1316" s="90"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0"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1"/>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59"/>
      <c r="Z1316" s="49"/>
      <c r="AA1316" s="37" t="str" cm="1">
        <f t="array" ref="AA1316">IFERROR(IF(INDEX(SubsidieTabel!$Q$1:$T$9,MATCH($F1316,SubsidieTabel!$Q$1:$Q$9,0),IFERROR(MATCH(Methode_Keuze,SubsidieTabel!$Q$1:$T$1,0),2))&lt;&gt;1=TRUE,"ja",""),"")</f>
        <v/>
      </c>
    </row>
    <row r="1317" spans="1:27" ht="15" customHeight="1" x14ac:dyDescent="0.25">
      <c r="A1317" s="85"/>
      <c r="B1317" s="217" t="str">
        <f>IF(A1317&lt;&gt;"",_xlfn.MAXIFS($B$1:B1316,$A$1:A1316,A1317)+1,"")</f>
        <v/>
      </c>
      <c r="C1317" s="50"/>
      <c r="D1317" s="50"/>
      <c r="E1317" s="50"/>
      <c r="F1317" s="50"/>
      <c r="G1317" s="280"/>
      <c r="H1317" s="293"/>
      <c r="I1317" s="292"/>
      <c r="J1317" s="292"/>
      <c r="K1317" s="200"/>
      <c r="L1317" s="200"/>
      <c r="M1317" s="89" t="str">
        <f>IFERROR(VLOOKUP(H1317,Lijsten!$H$1:$I$100,2,0),"")</f>
        <v/>
      </c>
      <c r="N1317" s="89" t="str" cm="1">
        <f t="array" ref="N1317">IFERROR(_xlfn.IFS(AND(LEFT(F1317,6)="Arbeid",RIGHT(F1317,3)&lt;&gt;"IKS"),IFERROR(VLOOKUP($G1317,Tb_KostenTypen[],2,0),"tarief"),RIGHT(F1317,3)="IKS","Uurtarief",LEFT(F1317,6)="Arbeid","Uurtarief",AND(LEFT(F1317,8)="Bijdrage",RIGHT(F1317,15)="(vrijwilligers)"),"Vast tarief"),"")</f>
        <v/>
      </c>
      <c r="O1317" s="90"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0"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1"/>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59"/>
      <c r="Z1317" s="49"/>
      <c r="AA1317" s="37" t="str" cm="1">
        <f t="array" ref="AA1317">IFERROR(IF(INDEX(SubsidieTabel!$Q$1:$T$9,MATCH($F1317,SubsidieTabel!$Q$1:$Q$9,0),IFERROR(MATCH(Methode_Keuze,SubsidieTabel!$Q$1:$T$1,0),2))&lt;&gt;1=TRUE,"ja",""),"")</f>
        <v/>
      </c>
    </row>
    <row r="1318" spans="1:27" ht="15" customHeight="1" x14ac:dyDescent="0.25">
      <c r="A1318" s="85"/>
      <c r="B1318" s="217" t="str">
        <f>IF(A1318&lt;&gt;"",_xlfn.MAXIFS($B$1:B1317,$A$1:A1317,A1318)+1,"")</f>
        <v/>
      </c>
      <c r="C1318" s="50"/>
      <c r="D1318" s="50"/>
      <c r="E1318" s="50"/>
      <c r="F1318" s="50"/>
      <c r="G1318" s="280"/>
      <c r="H1318" s="293"/>
      <c r="I1318" s="292"/>
      <c r="J1318" s="292"/>
      <c r="K1318" s="200"/>
      <c r="L1318" s="200"/>
      <c r="M1318" s="89" t="str">
        <f>IFERROR(VLOOKUP(H1318,Lijsten!$H$1:$I$100,2,0),"")</f>
        <v/>
      </c>
      <c r="N1318" s="89" t="str" cm="1">
        <f t="array" ref="N1318">IFERROR(_xlfn.IFS(AND(LEFT(F1318,6)="Arbeid",RIGHT(F1318,3)&lt;&gt;"IKS"),IFERROR(VLOOKUP($G1318,Tb_KostenTypen[],2,0),"tarief"),RIGHT(F1318,3)="IKS","Uurtarief",LEFT(F1318,6)="Arbeid","Uurtarief",AND(LEFT(F1318,8)="Bijdrage",RIGHT(F1318,15)="(vrijwilligers)"),"Vast tarief"),"")</f>
        <v/>
      </c>
      <c r="O1318" s="90"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0"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1"/>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59"/>
      <c r="Z1318" s="49"/>
      <c r="AA1318" s="37" t="str" cm="1">
        <f t="array" ref="AA1318">IFERROR(IF(INDEX(SubsidieTabel!$Q$1:$T$9,MATCH($F1318,SubsidieTabel!$Q$1:$Q$9,0),IFERROR(MATCH(Methode_Keuze,SubsidieTabel!$Q$1:$T$1,0),2))&lt;&gt;1=TRUE,"ja",""),"")</f>
        <v/>
      </c>
    </row>
    <row r="1319" spans="1:27" ht="15" customHeight="1" x14ac:dyDescent="0.25">
      <c r="A1319" s="85"/>
      <c r="B1319" s="217" t="str">
        <f>IF(A1319&lt;&gt;"",_xlfn.MAXIFS($B$1:B1318,$A$1:A1318,A1319)+1,"")</f>
        <v/>
      </c>
      <c r="C1319" s="50"/>
      <c r="D1319" s="50"/>
      <c r="E1319" s="50"/>
      <c r="F1319" s="50"/>
      <c r="G1319" s="280"/>
      <c r="H1319" s="293"/>
      <c r="I1319" s="292"/>
      <c r="J1319" s="292"/>
      <c r="K1319" s="200"/>
      <c r="L1319" s="200"/>
      <c r="M1319" s="89" t="str">
        <f>IFERROR(VLOOKUP(H1319,Lijsten!$H$1:$I$100,2,0),"")</f>
        <v/>
      </c>
      <c r="N1319" s="89" t="str" cm="1">
        <f t="array" ref="N1319">IFERROR(_xlfn.IFS(AND(LEFT(F1319,6)="Arbeid",RIGHT(F1319,3)&lt;&gt;"IKS"),IFERROR(VLOOKUP($G1319,Tb_KostenTypen[],2,0),"tarief"),RIGHT(F1319,3)="IKS","Uurtarief",LEFT(F1319,6)="Arbeid","Uurtarief",AND(LEFT(F1319,8)="Bijdrage",RIGHT(F1319,15)="(vrijwilligers)"),"Vast tarief"),"")</f>
        <v/>
      </c>
      <c r="O1319" s="90"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0"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1"/>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59"/>
      <c r="Z1319" s="49"/>
      <c r="AA1319" s="37" t="str" cm="1">
        <f t="array" ref="AA1319">IFERROR(IF(INDEX(SubsidieTabel!$Q$1:$T$9,MATCH($F1319,SubsidieTabel!$Q$1:$Q$9,0),IFERROR(MATCH(Methode_Keuze,SubsidieTabel!$Q$1:$T$1,0),2))&lt;&gt;1=TRUE,"ja",""),"")</f>
        <v/>
      </c>
    </row>
    <row r="1320" spans="1:27" ht="15" customHeight="1" x14ac:dyDescent="0.25">
      <c r="A1320" s="85"/>
      <c r="B1320" s="217" t="str">
        <f>IF(A1320&lt;&gt;"",_xlfn.MAXIFS($B$1:B1319,$A$1:A1319,A1320)+1,"")</f>
        <v/>
      </c>
      <c r="C1320" s="50"/>
      <c r="D1320" s="50"/>
      <c r="E1320" s="50"/>
      <c r="F1320" s="50"/>
      <c r="G1320" s="280"/>
      <c r="H1320" s="293"/>
      <c r="I1320" s="292"/>
      <c r="J1320" s="292"/>
      <c r="K1320" s="200"/>
      <c r="L1320" s="200"/>
      <c r="M1320" s="89" t="str">
        <f>IFERROR(VLOOKUP(H1320,Lijsten!$H$1:$I$100,2,0),"")</f>
        <v/>
      </c>
      <c r="N1320" s="89" t="str" cm="1">
        <f t="array" ref="N1320">IFERROR(_xlfn.IFS(AND(LEFT(F1320,6)="Arbeid",RIGHT(F1320,3)&lt;&gt;"IKS"),IFERROR(VLOOKUP($G1320,Tb_KostenTypen[],2,0),"tarief"),RIGHT(F1320,3)="IKS","Uurtarief",LEFT(F1320,6)="Arbeid","Uurtarief",AND(LEFT(F1320,8)="Bijdrage",RIGHT(F1320,15)="(vrijwilligers)"),"Vast tarief"),"")</f>
        <v/>
      </c>
      <c r="O1320" s="90"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0"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1"/>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59"/>
      <c r="Z1320" s="49"/>
      <c r="AA1320" s="37" t="str" cm="1">
        <f t="array" ref="AA1320">IFERROR(IF(INDEX(SubsidieTabel!$Q$1:$T$9,MATCH($F1320,SubsidieTabel!$Q$1:$Q$9,0),IFERROR(MATCH(Methode_Keuze,SubsidieTabel!$Q$1:$T$1,0),2))&lt;&gt;1=TRUE,"ja",""),"")</f>
        <v/>
      </c>
    </row>
    <row r="1321" spans="1:27" ht="15" customHeight="1" x14ac:dyDescent="0.25">
      <c r="A1321" s="85"/>
      <c r="B1321" s="217" t="str">
        <f>IF(A1321&lt;&gt;"",_xlfn.MAXIFS($B$1:B1320,$A$1:A1320,A1321)+1,"")</f>
        <v/>
      </c>
      <c r="C1321" s="50"/>
      <c r="D1321" s="50"/>
      <c r="E1321" s="50"/>
      <c r="F1321" s="50"/>
      <c r="G1321" s="280"/>
      <c r="H1321" s="293"/>
      <c r="I1321" s="292"/>
      <c r="J1321" s="292"/>
      <c r="K1321" s="200"/>
      <c r="L1321" s="200"/>
      <c r="M1321" s="89" t="str">
        <f>IFERROR(VLOOKUP(H1321,Lijsten!$H$1:$I$100,2,0),"")</f>
        <v/>
      </c>
      <c r="N1321" s="89" t="str" cm="1">
        <f t="array" ref="N1321">IFERROR(_xlfn.IFS(AND(LEFT(F1321,6)="Arbeid",RIGHT(F1321,3)&lt;&gt;"IKS"),IFERROR(VLOOKUP($G1321,Tb_KostenTypen[],2,0),"tarief"),RIGHT(F1321,3)="IKS","Uurtarief",LEFT(F1321,6)="Arbeid","Uurtarief",AND(LEFT(F1321,8)="Bijdrage",RIGHT(F1321,15)="(vrijwilligers)"),"Vast tarief"),"")</f>
        <v/>
      </c>
      <c r="O1321" s="90"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0"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1"/>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59"/>
      <c r="Z1321" s="49"/>
      <c r="AA1321" s="37" t="str" cm="1">
        <f t="array" ref="AA1321">IFERROR(IF(INDEX(SubsidieTabel!$Q$1:$T$9,MATCH($F1321,SubsidieTabel!$Q$1:$Q$9,0),IFERROR(MATCH(Methode_Keuze,SubsidieTabel!$Q$1:$T$1,0),2))&lt;&gt;1=TRUE,"ja",""),"")</f>
        <v/>
      </c>
    </row>
    <row r="1322" spans="1:27" ht="15" customHeight="1" x14ac:dyDescent="0.25">
      <c r="A1322" s="85"/>
      <c r="B1322" s="217" t="str">
        <f>IF(A1322&lt;&gt;"",_xlfn.MAXIFS($B$1:B1321,$A$1:A1321,A1322)+1,"")</f>
        <v/>
      </c>
      <c r="C1322" s="50"/>
      <c r="D1322" s="50"/>
      <c r="E1322" s="50"/>
      <c r="F1322" s="50"/>
      <c r="G1322" s="280"/>
      <c r="H1322" s="293"/>
      <c r="I1322" s="292"/>
      <c r="J1322" s="292"/>
      <c r="K1322" s="200"/>
      <c r="L1322" s="200"/>
      <c r="M1322" s="89" t="str">
        <f>IFERROR(VLOOKUP(H1322,Lijsten!$H$1:$I$100,2,0),"")</f>
        <v/>
      </c>
      <c r="N1322" s="89" t="str" cm="1">
        <f t="array" ref="N1322">IFERROR(_xlfn.IFS(AND(LEFT(F1322,6)="Arbeid",RIGHT(F1322,3)&lt;&gt;"IKS"),IFERROR(VLOOKUP($G1322,Tb_KostenTypen[],2,0),"tarief"),RIGHT(F1322,3)="IKS","Uurtarief",LEFT(F1322,6)="Arbeid","Uurtarief",AND(LEFT(F1322,8)="Bijdrage",RIGHT(F1322,15)="(vrijwilligers)"),"Vast tarief"),"")</f>
        <v/>
      </c>
      <c r="O1322" s="90"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0"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1"/>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59"/>
      <c r="Z1322" s="49"/>
      <c r="AA1322" s="37" t="str" cm="1">
        <f t="array" ref="AA1322">IFERROR(IF(INDEX(SubsidieTabel!$Q$1:$T$9,MATCH($F1322,SubsidieTabel!$Q$1:$Q$9,0),IFERROR(MATCH(Methode_Keuze,SubsidieTabel!$Q$1:$T$1,0),2))&lt;&gt;1=TRUE,"ja",""),"")</f>
        <v/>
      </c>
    </row>
    <row r="1323" spans="1:27" ht="15" customHeight="1" x14ac:dyDescent="0.25">
      <c r="A1323" s="85"/>
      <c r="B1323" s="217" t="str">
        <f>IF(A1323&lt;&gt;"",_xlfn.MAXIFS($B$1:B1322,$A$1:A1322,A1323)+1,"")</f>
        <v/>
      </c>
      <c r="C1323" s="50"/>
      <c r="D1323" s="50"/>
      <c r="E1323" s="50"/>
      <c r="F1323" s="50"/>
      <c r="G1323" s="280"/>
      <c r="H1323" s="293"/>
      <c r="I1323" s="292"/>
      <c r="J1323" s="292"/>
      <c r="K1323" s="200"/>
      <c r="L1323" s="200"/>
      <c r="M1323" s="89" t="str">
        <f>IFERROR(VLOOKUP(H1323,Lijsten!$H$1:$I$100,2,0),"")</f>
        <v/>
      </c>
      <c r="N1323" s="89" t="str" cm="1">
        <f t="array" ref="N1323">IFERROR(_xlfn.IFS(AND(LEFT(F1323,6)="Arbeid",RIGHT(F1323,3)&lt;&gt;"IKS"),IFERROR(VLOOKUP($G1323,Tb_KostenTypen[],2,0),"tarief"),RIGHT(F1323,3)="IKS","Uurtarief",LEFT(F1323,6)="Arbeid","Uurtarief",AND(LEFT(F1323,8)="Bijdrage",RIGHT(F1323,15)="(vrijwilligers)"),"Vast tarief"),"")</f>
        <v/>
      </c>
      <c r="O1323" s="90"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0"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1"/>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59"/>
      <c r="Z1323" s="49"/>
      <c r="AA1323" s="37" t="str" cm="1">
        <f t="array" ref="AA1323">IFERROR(IF(INDEX(SubsidieTabel!$Q$1:$T$9,MATCH($F1323,SubsidieTabel!$Q$1:$Q$9,0),IFERROR(MATCH(Methode_Keuze,SubsidieTabel!$Q$1:$T$1,0),2))&lt;&gt;1=TRUE,"ja",""),"")</f>
        <v/>
      </c>
    </row>
    <row r="1324" spans="1:27" ht="15" customHeight="1" x14ac:dyDescent="0.25">
      <c r="A1324" s="85"/>
      <c r="B1324" s="217" t="str">
        <f>IF(A1324&lt;&gt;"",_xlfn.MAXIFS($B$1:B1323,$A$1:A1323,A1324)+1,"")</f>
        <v/>
      </c>
      <c r="C1324" s="50"/>
      <c r="D1324" s="50"/>
      <c r="E1324" s="50"/>
      <c r="F1324" s="50"/>
      <c r="G1324" s="280"/>
      <c r="H1324" s="293"/>
      <c r="I1324" s="292"/>
      <c r="J1324" s="292"/>
      <c r="K1324" s="200"/>
      <c r="L1324" s="200"/>
      <c r="M1324" s="89" t="str">
        <f>IFERROR(VLOOKUP(H1324,Lijsten!$H$1:$I$100,2,0),"")</f>
        <v/>
      </c>
      <c r="N1324" s="89" t="str" cm="1">
        <f t="array" ref="N1324">IFERROR(_xlfn.IFS(AND(LEFT(F1324,6)="Arbeid",RIGHT(F1324,3)&lt;&gt;"IKS"),IFERROR(VLOOKUP($G1324,Tb_KostenTypen[],2,0),"tarief"),RIGHT(F1324,3)="IKS","Uurtarief",LEFT(F1324,6)="Arbeid","Uurtarief",AND(LEFT(F1324,8)="Bijdrage",RIGHT(F1324,15)="(vrijwilligers)"),"Vast tarief"),"")</f>
        <v/>
      </c>
      <c r="O1324" s="90"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0"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1"/>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59"/>
      <c r="Z1324" s="49"/>
      <c r="AA1324" s="37" t="str" cm="1">
        <f t="array" ref="AA1324">IFERROR(IF(INDEX(SubsidieTabel!$Q$1:$T$9,MATCH($F1324,SubsidieTabel!$Q$1:$Q$9,0),IFERROR(MATCH(Methode_Keuze,SubsidieTabel!$Q$1:$T$1,0),2))&lt;&gt;1=TRUE,"ja",""),"")</f>
        <v/>
      </c>
    </row>
    <row r="1325" spans="1:27" ht="15" customHeight="1" x14ac:dyDescent="0.25">
      <c r="A1325" s="85"/>
      <c r="B1325" s="217" t="str">
        <f>IF(A1325&lt;&gt;"",_xlfn.MAXIFS($B$1:B1324,$A$1:A1324,A1325)+1,"")</f>
        <v/>
      </c>
      <c r="C1325" s="50"/>
      <c r="D1325" s="50"/>
      <c r="E1325" s="50"/>
      <c r="F1325" s="50"/>
      <c r="G1325" s="280"/>
      <c r="H1325" s="293"/>
      <c r="I1325" s="292"/>
      <c r="J1325" s="292"/>
      <c r="K1325" s="200"/>
      <c r="L1325" s="200"/>
      <c r="M1325" s="89" t="str">
        <f>IFERROR(VLOOKUP(H1325,Lijsten!$H$1:$I$100,2,0),"")</f>
        <v/>
      </c>
      <c r="N1325" s="89" t="str" cm="1">
        <f t="array" ref="N1325">IFERROR(_xlfn.IFS(AND(LEFT(F1325,6)="Arbeid",RIGHT(F1325,3)&lt;&gt;"IKS"),IFERROR(VLOOKUP($G1325,Tb_KostenTypen[],2,0),"tarief"),RIGHT(F1325,3)="IKS","Uurtarief",LEFT(F1325,6)="Arbeid","Uurtarief",AND(LEFT(F1325,8)="Bijdrage",RIGHT(F1325,15)="(vrijwilligers)"),"Vast tarief"),"")</f>
        <v/>
      </c>
      <c r="O1325" s="90"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0"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1"/>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59"/>
      <c r="Z1325" s="49"/>
      <c r="AA1325" s="37" t="str" cm="1">
        <f t="array" ref="AA1325">IFERROR(IF(INDEX(SubsidieTabel!$Q$1:$T$9,MATCH($F1325,SubsidieTabel!$Q$1:$Q$9,0),IFERROR(MATCH(Methode_Keuze,SubsidieTabel!$Q$1:$T$1,0),2))&lt;&gt;1=TRUE,"ja",""),"")</f>
        <v/>
      </c>
    </row>
    <row r="1326" spans="1:27" ht="15" customHeight="1" x14ac:dyDescent="0.25">
      <c r="A1326" s="85"/>
      <c r="B1326" s="217" t="str">
        <f>IF(A1326&lt;&gt;"",_xlfn.MAXIFS($B$1:B1325,$A$1:A1325,A1326)+1,"")</f>
        <v/>
      </c>
      <c r="C1326" s="50"/>
      <c r="D1326" s="50"/>
      <c r="E1326" s="50"/>
      <c r="F1326" s="50"/>
      <c r="G1326" s="280"/>
      <c r="H1326" s="293"/>
      <c r="I1326" s="292"/>
      <c r="J1326" s="292"/>
      <c r="K1326" s="200"/>
      <c r="L1326" s="200"/>
      <c r="M1326" s="89" t="str">
        <f>IFERROR(VLOOKUP(H1326,Lijsten!$H$1:$I$100,2,0),"")</f>
        <v/>
      </c>
      <c r="N1326" s="89" t="str" cm="1">
        <f t="array" ref="N1326">IFERROR(_xlfn.IFS(AND(LEFT(F1326,6)="Arbeid",RIGHT(F1326,3)&lt;&gt;"IKS"),IFERROR(VLOOKUP($G1326,Tb_KostenTypen[],2,0),"tarief"),RIGHT(F1326,3)="IKS","Uurtarief",LEFT(F1326,6)="Arbeid","Uurtarief",AND(LEFT(F1326,8)="Bijdrage",RIGHT(F1326,15)="(vrijwilligers)"),"Vast tarief"),"")</f>
        <v/>
      </c>
      <c r="O1326" s="90"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0"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1"/>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59"/>
      <c r="Z1326" s="49"/>
      <c r="AA1326" s="37" t="str" cm="1">
        <f t="array" ref="AA1326">IFERROR(IF(INDEX(SubsidieTabel!$Q$1:$T$9,MATCH($F1326,SubsidieTabel!$Q$1:$Q$9,0),IFERROR(MATCH(Methode_Keuze,SubsidieTabel!$Q$1:$T$1,0),2))&lt;&gt;1=TRUE,"ja",""),"")</f>
        <v/>
      </c>
    </row>
    <row r="1327" spans="1:27" ht="15" customHeight="1" x14ac:dyDescent="0.25">
      <c r="A1327" s="85"/>
      <c r="B1327" s="217" t="str">
        <f>IF(A1327&lt;&gt;"",_xlfn.MAXIFS($B$1:B1326,$A$1:A1326,A1327)+1,"")</f>
        <v/>
      </c>
      <c r="C1327" s="50"/>
      <c r="D1327" s="50"/>
      <c r="E1327" s="50"/>
      <c r="F1327" s="50"/>
      <c r="G1327" s="280"/>
      <c r="H1327" s="293"/>
      <c r="I1327" s="292"/>
      <c r="J1327" s="292"/>
      <c r="K1327" s="200"/>
      <c r="L1327" s="200"/>
      <c r="M1327" s="89" t="str">
        <f>IFERROR(VLOOKUP(H1327,Lijsten!$H$1:$I$100,2,0),"")</f>
        <v/>
      </c>
      <c r="N1327" s="89" t="str" cm="1">
        <f t="array" ref="N1327">IFERROR(_xlfn.IFS(AND(LEFT(F1327,6)="Arbeid",RIGHT(F1327,3)&lt;&gt;"IKS"),IFERROR(VLOOKUP($G1327,Tb_KostenTypen[],2,0),"tarief"),RIGHT(F1327,3)="IKS","Uurtarief",LEFT(F1327,6)="Arbeid","Uurtarief",AND(LEFT(F1327,8)="Bijdrage",RIGHT(F1327,15)="(vrijwilligers)"),"Vast tarief"),"")</f>
        <v/>
      </c>
      <c r="O1327" s="90"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0"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1"/>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59"/>
      <c r="Z1327" s="49"/>
      <c r="AA1327" s="37" t="str" cm="1">
        <f t="array" ref="AA1327">IFERROR(IF(INDEX(SubsidieTabel!$Q$1:$T$9,MATCH($F1327,SubsidieTabel!$Q$1:$Q$9,0),IFERROR(MATCH(Methode_Keuze,SubsidieTabel!$Q$1:$T$1,0),2))&lt;&gt;1=TRUE,"ja",""),"")</f>
        <v/>
      </c>
    </row>
    <row r="1328" spans="1:27" ht="15" customHeight="1" x14ac:dyDescent="0.25">
      <c r="A1328" s="85"/>
      <c r="B1328" s="217" t="str">
        <f>IF(A1328&lt;&gt;"",_xlfn.MAXIFS($B$1:B1327,$A$1:A1327,A1328)+1,"")</f>
        <v/>
      </c>
      <c r="C1328" s="50"/>
      <c r="D1328" s="50"/>
      <c r="E1328" s="50"/>
      <c r="F1328" s="50"/>
      <c r="G1328" s="280"/>
      <c r="H1328" s="293"/>
      <c r="I1328" s="292"/>
      <c r="J1328" s="292"/>
      <c r="K1328" s="200"/>
      <c r="L1328" s="200"/>
      <c r="M1328" s="89" t="str">
        <f>IFERROR(VLOOKUP(H1328,Lijsten!$H$1:$I$100,2,0),"")</f>
        <v/>
      </c>
      <c r="N1328" s="89" t="str" cm="1">
        <f t="array" ref="N1328">IFERROR(_xlfn.IFS(AND(LEFT(F1328,6)="Arbeid",RIGHT(F1328,3)&lt;&gt;"IKS"),IFERROR(VLOOKUP($G1328,Tb_KostenTypen[],2,0),"tarief"),RIGHT(F1328,3)="IKS","Uurtarief",LEFT(F1328,6)="Arbeid","Uurtarief",AND(LEFT(F1328,8)="Bijdrage",RIGHT(F1328,15)="(vrijwilligers)"),"Vast tarief"),"")</f>
        <v/>
      </c>
      <c r="O1328" s="90"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0"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1"/>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59"/>
      <c r="Z1328" s="49"/>
      <c r="AA1328" s="37" t="str" cm="1">
        <f t="array" ref="AA1328">IFERROR(IF(INDEX(SubsidieTabel!$Q$1:$T$9,MATCH($F1328,SubsidieTabel!$Q$1:$Q$9,0),IFERROR(MATCH(Methode_Keuze,SubsidieTabel!$Q$1:$T$1,0),2))&lt;&gt;1=TRUE,"ja",""),"")</f>
        <v/>
      </c>
    </row>
    <row r="1329" spans="1:27" ht="15" customHeight="1" x14ac:dyDescent="0.25">
      <c r="A1329" s="85"/>
      <c r="B1329" s="217" t="str">
        <f>IF(A1329&lt;&gt;"",_xlfn.MAXIFS($B$1:B1328,$A$1:A1328,A1329)+1,"")</f>
        <v/>
      </c>
      <c r="C1329" s="50"/>
      <c r="D1329" s="50"/>
      <c r="E1329" s="50"/>
      <c r="F1329" s="50"/>
      <c r="G1329" s="280"/>
      <c r="H1329" s="293"/>
      <c r="I1329" s="292"/>
      <c r="J1329" s="292"/>
      <c r="K1329" s="200"/>
      <c r="L1329" s="200"/>
      <c r="M1329" s="89" t="str">
        <f>IFERROR(VLOOKUP(H1329,Lijsten!$H$1:$I$100,2,0),"")</f>
        <v/>
      </c>
      <c r="N1329" s="89" t="str" cm="1">
        <f t="array" ref="N1329">IFERROR(_xlfn.IFS(AND(LEFT(F1329,6)="Arbeid",RIGHT(F1329,3)&lt;&gt;"IKS"),IFERROR(VLOOKUP($G1329,Tb_KostenTypen[],2,0),"tarief"),RIGHT(F1329,3)="IKS","Uurtarief",LEFT(F1329,6)="Arbeid","Uurtarief",AND(LEFT(F1329,8)="Bijdrage",RIGHT(F1329,15)="(vrijwilligers)"),"Vast tarief"),"")</f>
        <v/>
      </c>
      <c r="O1329" s="90"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0"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1"/>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59"/>
      <c r="Z1329" s="49"/>
      <c r="AA1329" s="37" t="str" cm="1">
        <f t="array" ref="AA1329">IFERROR(IF(INDEX(SubsidieTabel!$Q$1:$T$9,MATCH($F1329,SubsidieTabel!$Q$1:$Q$9,0),IFERROR(MATCH(Methode_Keuze,SubsidieTabel!$Q$1:$T$1,0),2))&lt;&gt;1=TRUE,"ja",""),"")</f>
        <v/>
      </c>
    </row>
    <row r="1330" spans="1:27" ht="15" customHeight="1" x14ac:dyDescent="0.25">
      <c r="A1330" s="85"/>
      <c r="B1330" s="217" t="str">
        <f>IF(A1330&lt;&gt;"",_xlfn.MAXIFS($B$1:B1329,$A$1:A1329,A1330)+1,"")</f>
        <v/>
      </c>
      <c r="C1330" s="50"/>
      <c r="D1330" s="50"/>
      <c r="E1330" s="50"/>
      <c r="F1330" s="50"/>
      <c r="G1330" s="280"/>
      <c r="H1330" s="293"/>
      <c r="I1330" s="292"/>
      <c r="J1330" s="292"/>
      <c r="K1330" s="200"/>
      <c r="L1330" s="200"/>
      <c r="M1330" s="89" t="str">
        <f>IFERROR(VLOOKUP(H1330,Lijsten!$H$1:$I$100,2,0),"")</f>
        <v/>
      </c>
      <c r="N1330" s="89" t="str" cm="1">
        <f t="array" ref="N1330">IFERROR(_xlfn.IFS(AND(LEFT(F1330,6)="Arbeid",RIGHT(F1330,3)&lt;&gt;"IKS"),IFERROR(VLOOKUP($G1330,Tb_KostenTypen[],2,0),"tarief"),RIGHT(F1330,3)="IKS","Uurtarief",LEFT(F1330,6)="Arbeid","Uurtarief",AND(LEFT(F1330,8)="Bijdrage",RIGHT(F1330,15)="(vrijwilligers)"),"Vast tarief"),"")</f>
        <v/>
      </c>
      <c r="O1330" s="90"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0"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1"/>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59"/>
      <c r="Z1330" s="49"/>
      <c r="AA1330" s="37" t="str" cm="1">
        <f t="array" ref="AA1330">IFERROR(IF(INDEX(SubsidieTabel!$Q$1:$T$9,MATCH($F1330,SubsidieTabel!$Q$1:$Q$9,0),IFERROR(MATCH(Methode_Keuze,SubsidieTabel!$Q$1:$T$1,0),2))&lt;&gt;1=TRUE,"ja",""),"")</f>
        <v/>
      </c>
    </row>
    <row r="1331" spans="1:27" ht="15" customHeight="1" x14ac:dyDescent="0.25">
      <c r="A1331" s="85"/>
      <c r="B1331" s="217" t="str">
        <f>IF(A1331&lt;&gt;"",_xlfn.MAXIFS($B$1:B1330,$A$1:A1330,A1331)+1,"")</f>
        <v/>
      </c>
      <c r="C1331" s="50"/>
      <c r="D1331" s="50"/>
      <c r="E1331" s="50"/>
      <c r="F1331" s="50"/>
      <c r="G1331" s="280"/>
      <c r="H1331" s="293"/>
      <c r="I1331" s="292"/>
      <c r="J1331" s="292"/>
      <c r="K1331" s="200"/>
      <c r="L1331" s="200"/>
      <c r="M1331" s="89" t="str">
        <f>IFERROR(VLOOKUP(H1331,Lijsten!$H$1:$I$100,2,0),"")</f>
        <v/>
      </c>
      <c r="N1331" s="89" t="str" cm="1">
        <f t="array" ref="N1331">IFERROR(_xlfn.IFS(AND(LEFT(F1331,6)="Arbeid",RIGHT(F1331,3)&lt;&gt;"IKS"),IFERROR(VLOOKUP($G1331,Tb_KostenTypen[],2,0),"tarief"),RIGHT(F1331,3)="IKS","Uurtarief",LEFT(F1331,6)="Arbeid","Uurtarief",AND(LEFT(F1331,8)="Bijdrage",RIGHT(F1331,15)="(vrijwilligers)"),"Vast tarief"),"")</f>
        <v/>
      </c>
      <c r="O1331" s="90"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0"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1"/>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59"/>
      <c r="Z1331" s="49"/>
      <c r="AA1331" s="37" t="str" cm="1">
        <f t="array" ref="AA1331">IFERROR(IF(INDEX(SubsidieTabel!$Q$1:$T$9,MATCH($F1331,SubsidieTabel!$Q$1:$Q$9,0),IFERROR(MATCH(Methode_Keuze,SubsidieTabel!$Q$1:$T$1,0),2))&lt;&gt;1=TRUE,"ja",""),"")</f>
        <v/>
      </c>
    </row>
    <row r="1332" spans="1:27" ht="15" customHeight="1" x14ac:dyDescent="0.25">
      <c r="A1332" s="85"/>
      <c r="B1332" s="217" t="str">
        <f>IF(A1332&lt;&gt;"",_xlfn.MAXIFS($B$1:B1331,$A$1:A1331,A1332)+1,"")</f>
        <v/>
      </c>
      <c r="C1332" s="50"/>
      <c r="D1332" s="50"/>
      <c r="E1332" s="50"/>
      <c r="F1332" s="50"/>
      <c r="G1332" s="280"/>
      <c r="H1332" s="293"/>
      <c r="I1332" s="292"/>
      <c r="J1332" s="292"/>
      <c r="K1332" s="200"/>
      <c r="L1332" s="200"/>
      <c r="M1332" s="89" t="str">
        <f>IFERROR(VLOOKUP(H1332,Lijsten!$H$1:$I$100,2,0),"")</f>
        <v/>
      </c>
      <c r="N1332" s="89" t="str" cm="1">
        <f t="array" ref="N1332">IFERROR(_xlfn.IFS(AND(LEFT(F1332,6)="Arbeid",RIGHT(F1332,3)&lt;&gt;"IKS"),IFERROR(VLOOKUP($G1332,Tb_KostenTypen[],2,0),"tarief"),RIGHT(F1332,3)="IKS","Uurtarief",LEFT(F1332,6)="Arbeid","Uurtarief",AND(LEFT(F1332,8)="Bijdrage",RIGHT(F1332,15)="(vrijwilligers)"),"Vast tarief"),"")</f>
        <v/>
      </c>
      <c r="O1332" s="90"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0"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1"/>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59"/>
      <c r="Z1332" s="49"/>
      <c r="AA1332" s="37" t="str" cm="1">
        <f t="array" ref="AA1332">IFERROR(IF(INDEX(SubsidieTabel!$Q$1:$T$9,MATCH($F1332,SubsidieTabel!$Q$1:$Q$9,0),IFERROR(MATCH(Methode_Keuze,SubsidieTabel!$Q$1:$T$1,0),2))&lt;&gt;1=TRUE,"ja",""),"")</f>
        <v/>
      </c>
    </row>
    <row r="1333" spans="1:27" ht="15" customHeight="1" x14ac:dyDescent="0.25">
      <c r="A1333" s="85"/>
      <c r="B1333" s="217" t="str">
        <f>IF(A1333&lt;&gt;"",_xlfn.MAXIFS($B$1:B1332,$A$1:A1332,A1333)+1,"")</f>
        <v/>
      </c>
      <c r="C1333" s="50"/>
      <c r="D1333" s="50"/>
      <c r="E1333" s="50"/>
      <c r="F1333" s="50"/>
      <c r="G1333" s="280"/>
      <c r="H1333" s="293"/>
      <c r="I1333" s="292"/>
      <c r="J1333" s="292"/>
      <c r="K1333" s="200"/>
      <c r="L1333" s="200"/>
      <c r="M1333" s="89" t="str">
        <f>IFERROR(VLOOKUP(H1333,Lijsten!$H$1:$I$100,2,0),"")</f>
        <v/>
      </c>
      <c r="N1333" s="89" t="str" cm="1">
        <f t="array" ref="N1333">IFERROR(_xlfn.IFS(AND(LEFT(F1333,6)="Arbeid",RIGHT(F1333,3)&lt;&gt;"IKS"),IFERROR(VLOOKUP($G1333,Tb_KostenTypen[],2,0),"tarief"),RIGHT(F1333,3)="IKS","Uurtarief",LEFT(F1333,6)="Arbeid","Uurtarief",AND(LEFT(F1333,8)="Bijdrage",RIGHT(F1333,15)="(vrijwilligers)"),"Vast tarief"),"")</f>
        <v/>
      </c>
      <c r="O1333" s="90"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0"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1"/>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59"/>
      <c r="Z1333" s="49"/>
      <c r="AA1333" s="37" t="str" cm="1">
        <f t="array" ref="AA1333">IFERROR(IF(INDEX(SubsidieTabel!$Q$1:$T$9,MATCH($F1333,SubsidieTabel!$Q$1:$Q$9,0),IFERROR(MATCH(Methode_Keuze,SubsidieTabel!$Q$1:$T$1,0),2))&lt;&gt;1=TRUE,"ja",""),"")</f>
        <v/>
      </c>
    </row>
    <row r="1334" spans="1:27" ht="15" customHeight="1" x14ac:dyDescent="0.25">
      <c r="A1334" s="85"/>
      <c r="B1334" s="217" t="str">
        <f>IF(A1334&lt;&gt;"",_xlfn.MAXIFS($B$1:B1333,$A$1:A1333,A1334)+1,"")</f>
        <v/>
      </c>
      <c r="C1334" s="50"/>
      <c r="D1334" s="50"/>
      <c r="E1334" s="50"/>
      <c r="F1334" s="50"/>
      <c r="G1334" s="280"/>
      <c r="H1334" s="293"/>
      <c r="I1334" s="292"/>
      <c r="J1334" s="292"/>
      <c r="K1334" s="200"/>
      <c r="L1334" s="200"/>
      <c r="M1334" s="89" t="str">
        <f>IFERROR(VLOOKUP(H1334,Lijsten!$H$1:$I$100,2,0),"")</f>
        <v/>
      </c>
      <c r="N1334" s="89" t="str" cm="1">
        <f t="array" ref="N1334">IFERROR(_xlfn.IFS(AND(LEFT(F1334,6)="Arbeid",RIGHT(F1334,3)&lt;&gt;"IKS"),IFERROR(VLOOKUP($G1334,Tb_KostenTypen[],2,0),"tarief"),RIGHT(F1334,3)="IKS","Uurtarief",LEFT(F1334,6)="Arbeid","Uurtarief",AND(LEFT(F1334,8)="Bijdrage",RIGHT(F1334,15)="(vrijwilligers)"),"Vast tarief"),"")</f>
        <v/>
      </c>
      <c r="O1334" s="90"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0"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1"/>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59"/>
      <c r="Z1334" s="49"/>
      <c r="AA1334" s="37" t="str" cm="1">
        <f t="array" ref="AA1334">IFERROR(IF(INDEX(SubsidieTabel!$Q$1:$T$9,MATCH($F1334,SubsidieTabel!$Q$1:$Q$9,0),IFERROR(MATCH(Methode_Keuze,SubsidieTabel!$Q$1:$T$1,0),2))&lt;&gt;1=TRUE,"ja",""),"")</f>
        <v/>
      </c>
    </row>
    <row r="1335" spans="1:27" ht="15" customHeight="1" x14ac:dyDescent="0.25">
      <c r="A1335" s="85"/>
      <c r="B1335" s="217" t="str">
        <f>IF(A1335&lt;&gt;"",_xlfn.MAXIFS($B$1:B1334,$A$1:A1334,A1335)+1,"")</f>
        <v/>
      </c>
      <c r="C1335" s="50"/>
      <c r="D1335" s="50"/>
      <c r="E1335" s="50"/>
      <c r="F1335" s="50"/>
      <c r="G1335" s="280"/>
      <c r="H1335" s="293"/>
      <c r="I1335" s="292"/>
      <c r="J1335" s="292"/>
      <c r="K1335" s="200"/>
      <c r="L1335" s="200"/>
      <c r="M1335" s="89" t="str">
        <f>IFERROR(VLOOKUP(H1335,Lijsten!$H$1:$I$100,2,0),"")</f>
        <v/>
      </c>
      <c r="N1335" s="89" t="str" cm="1">
        <f t="array" ref="N1335">IFERROR(_xlfn.IFS(AND(LEFT(F1335,6)="Arbeid",RIGHT(F1335,3)&lt;&gt;"IKS"),IFERROR(VLOOKUP($G1335,Tb_KostenTypen[],2,0),"tarief"),RIGHT(F1335,3)="IKS","Uurtarief",LEFT(F1335,6)="Arbeid","Uurtarief",AND(LEFT(F1335,8)="Bijdrage",RIGHT(F1335,15)="(vrijwilligers)"),"Vast tarief"),"")</f>
        <v/>
      </c>
      <c r="O1335" s="90"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0"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1"/>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59"/>
      <c r="Z1335" s="49"/>
      <c r="AA1335" s="37" t="str" cm="1">
        <f t="array" ref="AA1335">IFERROR(IF(INDEX(SubsidieTabel!$Q$1:$T$9,MATCH($F1335,SubsidieTabel!$Q$1:$Q$9,0),IFERROR(MATCH(Methode_Keuze,SubsidieTabel!$Q$1:$T$1,0),2))&lt;&gt;1=TRUE,"ja",""),"")</f>
        <v/>
      </c>
    </row>
    <row r="1336" spans="1:27" ht="15" customHeight="1" x14ac:dyDescent="0.25">
      <c r="A1336" s="85"/>
      <c r="B1336" s="217" t="str">
        <f>IF(A1336&lt;&gt;"",_xlfn.MAXIFS($B$1:B1335,$A$1:A1335,A1336)+1,"")</f>
        <v/>
      </c>
      <c r="C1336" s="50"/>
      <c r="D1336" s="50"/>
      <c r="E1336" s="50"/>
      <c r="F1336" s="50"/>
      <c r="G1336" s="280"/>
      <c r="H1336" s="293"/>
      <c r="I1336" s="292"/>
      <c r="J1336" s="292"/>
      <c r="K1336" s="200"/>
      <c r="L1336" s="200"/>
      <c r="M1336" s="89" t="str">
        <f>IFERROR(VLOOKUP(H1336,Lijsten!$H$1:$I$100,2,0),"")</f>
        <v/>
      </c>
      <c r="N1336" s="89" t="str" cm="1">
        <f t="array" ref="N1336">IFERROR(_xlfn.IFS(AND(LEFT(F1336,6)="Arbeid",RIGHT(F1336,3)&lt;&gt;"IKS"),IFERROR(VLOOKUP($G1336,Tb_KostenTypen[],2,0),"tarief"),RIGHT(F1336,3)="IKS","Uurtarief",LEFT(F1336,6)="Arbeid","Uurtarief",AND(LEFT(F1336,8)="Bijdrage",RIGHT(F1336,15)="(vrijwilligers)"),"Vast tarief"),"")</f>
        <v/>
      </c>
      <c r="O1336" s="90"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0"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1"/>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59"/>
      <c r="Z1336" s="49"/>
      <c r="AA1336" s="37" t="str" cm="1">
        <f t="array" ref="AA1336">IFERROR(IF(INDEX(SubsidieTabel!$Q$1:$T$9,MATCH($F1336,SubsidieTabel!$Q$1:$Q$9,0),IFERROR(MATCH(Methode_Keuze,SubsidieTabel!$Q$1:$T$1,0),2))&lt;&gt;1=TRUE,"ja",""),"")</f>
        <v/>
      </c>
    </row>
    <row r="1337" spans="1:27" ht="15" customHeight="1" x14ac:dyDescent="0.25">
      <c r="A1337" s="85"/>
      <c r="B1337" s="217" t="str">
        <f>IF(A1337&lt;&gt;"",_xlfn.MAXIFS($B$1:B1336,$A$1:A1336,A1337)+1,"")</f>
        <v/>
      </c>
      <c r="C1337" s="50"/>
      <c r="D1337" s="50"/>
      <c r="E1337" s="50"/>
      <c r="F1337" s="50"/>
      <c r="G1337" s="280"/>
      <c r="H1337" s="293"/>
      <c r="I1337" s="292"/>
      <c r="J1337" s="292"/>
      <c r="K1337" s="200"/>
      <c r="L1337" s="200"/>
      <c r="M1337" s="89" t="str">
        <f>IFERROR(VLOOKUP(H1337,Lijsten!$H$1:$I$100,2,0),"")</f>
        <v/>
      </c>
      <c r="N1337" s="89" t="str" cm="1">
        <f t="array" ref="N1337">IFERROR(_xlfn.IFS(AND(LEFT(F1337,6)="Arbeid",RIGHT(F1337,3)&lt;&gt;"IKS"),IFERROR(VLOOKUP($G1337,Tb_KostenTypen[],2,0),"tarief"),RIGHT(F1337,3)="IKS","Uurtarief",LEFT(F1337,6)="Arbeid","Uurtarief",AND(LEFT(F1337,8)="Bijdrage",RIGHT(F1337,15)="(vrijwilligers)"),"Vast tarief"),"")</f>
        <v/>
      </c>
      <c r="O1337" s="90"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0"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1"/>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59"/>
      <c r="Z1337" s="49"/>
      <c r="AA1337" s="37" t="str" cm="1">
        <f t="array" ref="AA1337">IFERROR(IF(INDEX(SubsidieTabel!$Q$1:$T$9,MATCH($F1337,SubsidieTabel!$Q$1:$Q$9,0),IFERROR(MATCH(Methode_Keuze,SubsidieTabel!$Q$1:$T$1,0),2))&lt;&gt;1=TRUE,"ja",""),"")</f>
        <v/>
      </c>
    </row>
    <row r="1338" spans="1:27" ht="15" customHeight="1" x14ac:dyDescent="0.25">
      <c r="A1338" s="85"/>
      <c r="B1338" s="217" t="str">
        <f>IF(A1338&lt;&gt;"",_xlfn.MAXIFS($B$1:B1337,$A$1:A1337,A1338)+1,"")</f>
        <v/>
      </c>
      <c r="C1338" s="50"/>
      <c r="D1338" s="50"/>
      <c r="E1338" s="50"/>
      <c r="F1338" s="50"/>
      <c r="G1338" s="280"/>
      <c r="H1338" s="293"/>
      <c r="I1338" s="292"/>
      <c r="J1338" s="292"/>
      <c r="K1338" s="200"/>
      <c r="L1338" s="200"/>
      <c r="M1338" s="89" t="str">
        <f>IFERROR(VLOOKUP(H1338,Lijsten!$H$1:$I$100,2,0),"")</f>
        <v/>
      </c>
      <c r="N1338" s="89" t="str" cm="1">
        <f t="array" ref="N1338">IFERROR(_xlfn.IFS(AND(LEFT(F1338,6)="Arbeid",RIGHT(F1338,3)&lt;&gt;"IKS"),IFERROR(VLOOKUP($G1338,Tb_KostenTypen[],2,0),"tarief"),RIGHT(F1338,3)="IKS","Uurtarief",LEFT(F1338,6)="Arbeid","Uurtarief",AND(LEFT(F1338,8)="Bijdrage",RIGHT(F1338,15)="(vrijwilligers)"),"Vast tarief"),"")</f>
        <v/>
      </c>
      <c r="O1338" s="90"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0"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1"/>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59"/>
      <c r="Z1338" s="49"/>
      <c r="AA1338" s="37" t="str" cm="1">
        <f t="array" ref="AA1338">IFERROR(IF(INDEX(SubsidieTabel!$Q$1:$T$9,MATCH($F1338,SubsidieTabel!$Q$1:$Q$9,0),IFERROR(MATCH(Methode_Keuze,SubsidieTabel!$Q$1:$T$1,0),2))&lt;&gt;1=TRUE,"ja",""),"")</f>
        <v/>
      </c>
    </row>
    <row r="1339" spans="1:27" ht="15" customHeight="1" x14ac:dyDescent="0.25">
      <c r="A1339" s="85"/>
      <c r="B1339" s="217" t="str">
        <f>IF(A1339&lt;&gt;"",_xlfn.MAXIFS($B$1:B1338,$A$1:A1338,A1339)+1,"")</f>
        <v/>
      </c>
      <c r="C1339" s="50"/>
      <c r="D1339" s="50"/>
      <c r="E1339" s="50"/>
      <c r="F1339" s="50"/>
      <c r="G1339" s="280"/>
      <c r="H1339" s="293"/>
      <c r="I1339" s="292"/>
      <c r="J1339" s="292"/>
      <c r="K1339" s="200"/>
      <c r="L1339" s="200"/>
      <c r="M1339" s="89" t="str">
        <f>IFERROR(VLOOKUP(H1339,Lijsten!$H$1:$I$100,2,0),"")</f>
        <v/>
      </c>
      <c r="N1339" s="89" t="str" cm="1">
        <f t="array" ref="N1339">IFERROR(_xlfn.IFS(AND(LEFT(F1339,6)="Arbeid",RIGHT(F1339,3)&lt;&gt;"IKS"),IFERROR(VLOOKUP($G1339,Tb_KostenTypen[],2,0),"tarief"),RIGHT(F1339,3)="IKS","Uurtarief",LEFT(F1339,6)="Arbeid","Uurtarief",AND(LEFT(F1339,8)="Bijdrage",RIGHT(F1339,15)="(vrijwilligers)"),"Vast tarief"),"")</f>
        <v/>
      </c>
      <c r="O1339" s="90"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0"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1"/>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59"/>
      <c r="Z1339" s="49"/>
      <c r="AA1339" s="37" t="str" cm="1">
        <f t="array" ref="AA1339">IFERROR(IF(INDEX(SubsidieTabel!$Q$1:$T$9,MATCH($F1339,SubsidieTabel!$Q$1:$Q$9,0),IFERROR(MATCH(Methode_Keuze,SubsidieTabel!$Q$1:$T$1,0),2))&lt;&gt;1=TRUE,"ja",""),"")</f>
        <v/>
      </c>
    </row>
    <row r="1340" spans="1:27" ht="15" customHeight="1" x14ac:dyDescent="0.25">
      <c r="A1340" s="85"/>
      <c r="B1340" s="217" t="str">
        <f>IF(A1340&lt;&gt;"",_xlfn.MAXIFS($B$1:B1339,$A$1:A1339,A1340)+1,"")</f>
        <v/>
      </c>
      <c r="C1340" s="50"/>
      <c r="D1340" s="50"/>
      <c r="E1340" s="50"/>
      <c r="F1340" s="50"/>
      <c r="G1340" s="280"/>
      <c r="H1340" s="293"/>
      <c r="I1340" s="292"/>
      <c r="J1340" s="292"/>
      <c r="K1340" s="200"/>
      <c r="L1340" s="200"/>
      <c r="M1340" s="89" t="str">
        <f>IFERROR(VLOOKUP(H1340,Lijsten!$H$1:$I$100,2,0),"")</f>
        <v/>
      </c>
      <c r="N1340" s="89" t="str" cm="1">
        <f t="array" ref="N1340">IFERROR(_xlfn.IFS(AND(LEFT(F1340,6)="Arbeid",RIGHT(F1340,3)&lt;&gt;"IKS"),IFERROR(VLOOKUP($G1340,Tb_KostenTypen[],2,0),"tarief"),RIGHT(F1340,3)="IKS","Uurtarief",LEFT(F1340,6)="Arbeid","Uurtarief",AND(LEFT(F1340,8)="Bijdrage",RIGHT(F1340,15)="(vrijwilligers)"),"Vast tarief"),"")</f>
        <v/>
      </c>
      <c r="O1340" s="90"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0"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1"/>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59"/>
      <c r="Z1340" s="49"/>
      <c r="AA1340" s="37" t="str" cm="1">
        <f t="array" ref="AA1340">IFERROR(IF(INDEX(SubsidieTabel!$Q$1:$T$9,MATCH($F1340,SubsidieTabel!$Q$1:$Q$9,0),IFERROR(MATCH(Methode_Keuze,SubsidieTabel!$Q$1:$T$1,0),2))&lt;&gt;1=TRUE,"ja",""),"")</f>
        <v/>
      </c>
    </row>
    <row r="1341" spans="1:27" ht="15" customHeight="1" x14ac:dyDescent="0.25">
      <c r="A1341" s="85"/>
      <c r="B1341" s="217" t="str">
        <f>IF(A1341&lt;&gt;"",_xlfn.MAXIFS($B$1:B1340,$A$1:A1340,A1341)+1,"")</f>
        <v/>
      </c>
      <c r="C1341" s="50"/>
      <c r="D1341" s="50"/>
      <c r="E1341" s="50"/>
      <c r="F1341" s="50"/>
      <c r="G1341" s="280"/>
      <c r="H1341" s="293"/>
      <c r="I1341" s="292"/>
      <c r="J1341" s="292"/>
      <c r="K1341" s="200"/>
      <c r="L1341" s="200"/>
      <c r="M1341" s="89" t="str">
        <f>IFERROR(VLOOKUP(H1341,Lijsten!$H$1:$I$100,2,0),"")</f>
        <v/>
      </c>
      <c r="N1341" s="89" t="str" cm="1">
        <f t="array" ref="N1341">IFERROR(_xlfn.IFS(AND(LEFT(F1341,6)="Arbeid",RIGHT(F1341,3)&lt;&gt;"IKS"),IFERROR(VLOOKUP($G1341,Tb_KostenTypen[],2,0),"tarief"),RIGHT(F1341,3)="IKS","Uurtarief",LEFT(F1341,6)="Arbeid","Uurtarief",AND(LEFT(F1341,8)="Bijdrage",RIGHT(F1341,15)="(vrijwilligers)"),"Vast tarief"),"")</f>
        <v/>
      </c>
      <c r="O1341" s="90"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0"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1"/>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59"/>
      <c r="Z1341" s="49"/>
      <c r="AA1341" s="37" t="str" cm="1">
        <f t="array" ref="AA1341">IFERROR(IF(INDEX(SubsidieTabel!$Q$1:$T$9,MATCH($F1341,SubsidieTabel!$Q$1:$Q$9,0),IFERROR(MATCH(Methode_Keuze,SubsidieTabel!$Q$1:$T$1,0),2))&lt;&gt;1=TRUE,"ja",""),"")</f>
        <v/>
      </c>
    </row>
    <row r="1342" spans="1:27" ht="15" customHeight="1" x14ac:dyDescent="0.25">
      <c r="A1342" s="85"/>
      <c r="B1342" s="217" t="str">
        <f>IF(A1342&lt;&gt;"",_xlfn.MAXIFS($B$1:B1341,$A$1:A1341,A1342)+1,"")</f>
        <v/>
      </c>
      <c r="C1342" s="50"/>
      <c r="D1342" s="50"/>
      <c r="E1342" s="50"/>
      <c r="F1342" s="50"/>
      <c r="G1342" s="280"/>
      <c r="H1342" s="293"/>
      <c r="I1342" s="292"/>
      <c r="J1342" s="292"/>
      <c r="K1342" s="200"/>
      <c r="L1342" s="200"/>
      <c r="M1342" s="89" t="str">
        <f>IFERROR(VLOOKUP(H1342,Lijsten!$H$1:$I$100,2,0),"")</f>
        <v/>
      </c>
      <c r="N1342" s="89" t="str" cm="1">
        <f t="array" ref="N1342">IFERROR(_xlfn.IFS(AND(LEFT(F1342,6)="Arbeid",RIGHT(F1342,3)&lt;&gt;"IKS"),IFERROR(VLOOKUP($G1342,Tb_KostenTypen[],2,0),"tarief"),RIGHT(F1342,3)="IKS","Uurtarief",LEFT(F1342,6)="Arbeid","Uurtarief",AND(LEFT(F1342,8)="Bijdrage",RIGHT(F1342,15)="(vrijwilligers)"),"Vast tarief"),"")</f>
        <v/>
      </c>
      <c r="O1342" s="90"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0"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1"/>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59"/>
      <c r="Z1342" s="49"/>
      <c r="AA1342" s="37" t="str" cm="1">
        <f t="array" ref="AA1342">IFERROR(IF(INDEX(SubsidieTabel!$Q$1:$T$9,MATCH($F1342,SubsidieTabel!$Q$1:$Q$9,0),IFERROR(MATCH(Methode_Keuze,SubsidieTabel!$Q$1:$T$1,0),2))&lt;&gt;1=TRUE,"ja",""),"")</f>
        <v/>
      </c>
    </row>
    <row r="1343" spans="1:27" ht="15" customHeight="1" x14ac:dyDescent="0.25">
      <c r="A1343" s="85"/>
      <c r="B1343" s="217" t="str">
        <f>IF(A1343&lt;&gt;"",_xlfn.MAXIFS($B$1:B1342,$A$1:A1342,A1343)+1,"")</f>
        <v/>
      </c>
      <c r="C1343" s="50"/>
      <c r="D1343" s="50"/>
      <c r="E1343" s="50"/>
      <c r="F1343" s="50"/>
      <c r="G1343" s="280"/>
      <c r="H1343" s="293"/>
      <c r="I1343" s="292"/>
      <c r="J1343" s="292"/>
      <c r="K1343" s="200"/>
      <c r="L1343" s="200"/>
      <c r="M1343" s="89" t="str">
        <f>IFERROR(VLOOKUP(H1343,Lijsten!$H$1:$I$100,2,0),"")</f>
        <v/>
      </c>
      <c r="N1343" s="89" t="str" cm="1">
        <f t="array" ref="N1343">IFERROR(_xlfn.IFS(AND(LEFT(F1343,6)="Arbeid",RIGHT(F1343,3)&lt;&gt;"IKS"),IFERROR(VLOOKUP($G1343,Tb_KostenTypen[],2,0),"tarief"),RIGHT(F1343,3)="IKS","Uurtarief",LEFT(F1343,6)="Arbeid","Uurtarief",AND(LEFT(F1343,8)="Bijdrage",RIGHT(F1343,15)="(vrijwilligers)"),"Vast tarief"),"")</f>
        <v/>
      </c>
      <c r="O1343" s="90"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0"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1"/>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59"/>
      <c r="Z1343" s="49"/>
      <c r="AA1343" s="37" t="str" cm="1">
        <f t="array" ref="AA1343">IFERROR(IF(INDEX(SubsidieTabel!$Q$1:$T$9,MATCH($F1343,SubsidieTabel!$Q$1:$Q$9,0),IFERROR(MATCH(Methode_Keuze,SubsidieTabel!$Q$1:$T$1,0),2))&lt;&gt;1=TRUE,"ja",""),"")</f>
        <v/>
      </c>
    </row>
    <row r="1344" spans="1:27" ht="15" customHeight="1" x14ac:dyDescent="0.25">
      <c r="A1344" s="85"/>
      <c r="B1344" s="217" t="str">
        <f>IF(A1344&lt;&gt;"",_xlfn.MAXIFS($B$1:B1343,$A$1:A1343,A1344)+1,"")</f>
        <v/>
      </c>
      <c r="C1344" s="50"/>
      <c r="D1344" s="50"/>
      <c r="E1344" s="50"/>
      <c r="F1344" s="50"/>
      <c r="G1344" s="280"/>
      <c r="H1344" s="293"/>
      <c r="I1344" s="292"/>
      <c r="J1344" s="292"/>
      <c r="K1344" s="200"/>
      <c r="L1344" s="200"/>
      <c r="M1344" s="89" t="str">
        <f>IFERROR(VLOOKUP(H1344,Lijsten!$H$1:$I$100,2,0),"")</f>
        <v/>
      </c>
      <c r="N1344" s="89" t="str" cm="1">
        <f t="array" ref="N1344">IFERROR(_xlfn.IFS(AND(LEFT(F1344,6)="Arbeid",RIGHT(F1344,3)&lt;&gt;"IKS"),IFERROR(VLOOKUP($G1344,Tb_KostenTypen[],2,0),"tarief"),RIGHT(F1344,3)="IKS","Uurtarief",LEFT(F1344,6)="Arbeid","Uurtarief",AND(LEFT(F1344,8)="Bijdrage",RIGHT(F1344,15)="(vrijwilligers)"),"Vast tarief"),"")</f>
        <v/>
      </c>
      <c r="O1344" s="90"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0"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1"/>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59"/>
      <c r="Z1344" s="49"/>
      <c r="AA1344" s="37" t="str" cm="1">
        <f t="array" ref="AA1344">IFERROR(IF(INDEX(SubsidieTabel!$Q$1:$T$9,MATCH($F1344,SubsidieTabel!$Q$1:$Q$9,0),IFERROR(MATCH(Methode_Keuze,SubsidieTabel!$Q$1:$T$1,0),2))&lt;&gt;1=TRUE,"ja",""),"")</f>
        <v/>
      </c>
    </row>
    <row r="1345" spans="1:27" ht="15" customHeight="1" x14ac:dyDescent="0.25">
      <c r="A1345" s="85"/>
      <c r="B1345" s="217" t="str">
        <f>IF(A1345&lt;&gt;"",_xlfn.MAXIFS($B$1:B1344,$A$1:A1344,A1345)+1,"")</f>
        <v/>
      </c>
      <c r="C1345" s="50"/>
      <c r="D1345" s="50"/>
      <c r="E1345" s="50"/>
      <c r="F1345" s="50"/>
      <c r="G1345" s="280"/>
      <c r="H1345" s="293"/>
      <c r="I1345" s="292"/>
      <c r="J1345" s="292"/>
      <c r="K1345" s="200"/>
      <c r="L1345" s="200"/>
      <c r="M1345" s="89" t="str">
        <f>IFERROR(VLOOKUP(H1345,Lijsten!$H$1:$I$100,2,0),"")</f>
        <v/>
      </c>
      <c r="N1345" s="89" t="str" cm="1">
        <f t="array" ref="N1345">IFERROR(_xlfn.IFS(AND(LEFT(F1345,6)="Arbeid",RIGHT(F1345,3)&lt;&gt;"IKS"),IFERROR(VLOOKUP($G1345,Tb_KostenTypen[],2,0),"tarief"),RIGHT(F1345,3)="IKS","Uurtarief",LEFT(F1345,6)="Arbeid","Uurtarief",AND(LEFT(F1345,8)="Bijdrage",RIGHT(F1345,15)="(vrijwilligers)"),"Vast tarief"),"")</f>
        <v/>
      </c>
      <c r="O1345" s="90"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0"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1"/>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59"/>
      <c r="Z1345" s="49"/>
      <c r="AA1345" s="37" t="str" cm="1">
        <f t="array" ref="AA1345">IFERROR(IF(INDEX(SubsidieTabel!$Q$1:$T$9,MATCH($F1345,SubsidieTabel!$Q$1:$Q$9,0),IFERROR(MATCH(Methode_Keuze,SubsidieTabel!$Q$1:$T$1,0),2))&lt;&gt;1=TRUE,"ja",""),"")</f>
        <v/>
      </c>
    </row>
    <row r="1346" spans="1:27" ht="15" customHeight="1" x14ac:dyDescent="0.25">
      <c r="A1346" s="85"/>
      <c r="B1346" s="217" t="str">
        <f>IF(A1346&lt;&gt;"",_xlfn.MAXIFS($B$1:B1345,$A$1:A1345,A1346)+1,"")</f>
        <v/>
      </c>
      <c r="C1346" s="50"/>
      <c r="D1346" s="50"/>
      <c r="E1346" s="50"/>
      <c r="F1346" s="50"/>
      <c r="G1346" s="280"/>
      <c r="H1346" s="293"/>
      <c r="I1346" s="292"/>
      <c r="J1346" s="292"/>
      <c r="K1346" s="200"/>
      <c r="L1346" s="200"/>
      <c r="M1346" s="89" t="str">
        <f>IFERROR(VLOOKUP(H1346,Lijsten!$H$1:$I$100,2,0),"")</f>
        <v/>
      </c>
      <c r="N1346" s="89" t="str" cm="1">
        <f t="array" ref="N1346">IFERROR(_xlfn.IFS(AND(LEFT(F1346,6)="Arbeid",RIGHT(F1346,3)&lt;&gt;"IKS"),IFERROR(VLOOKUP($G1346,Tb_KostenTypen[],2,0),"tarief"),RIGHT(F1346,3)="IKS","Uurtarief",LEFT(F1346,6)="Arbeid","Uurtarief",AND(LEFT(F1346,8)="Bijdrage",RIGHT(F1346,15)="(vrijwilligers)"),"Vast tarief"),"")</f>
        <v/>
      </c>
      <c r="O1346" s="90"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0"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1"/>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59"/>
      <c r="Z1346" s="49"/>
      <c r="AA1346" s="37" t="str" cm="1">
        <f t="array" ref="AA1346">IFERROR(IF(INDEX(SubsidieTabel!$Q$1:$T$9,MATCH($F1346,SubsidieTabel!$Q$1:$Q$9,0),IFERROR(MATCH(Methode_Keuze,SubsidieTabel!$Q$1:$T$1,0),2))&lt;&gt;1=TRUE,"ja",""),"")</f>
        <v/>
      </c>
    </row>
    <row r="1347" spans="1:27" ht="15" customHeight="1" x14ac:dyDescent="0.25">
      <c r="A1347" s="85"/>
      <c r="B1347" s="217" t="str">
        <f>IF(A1347&lt;&gt;"",_xlfn.MAXIFS($B$1:B1346,$A$1:A1346,A1347)+1,"")</f>
        <v/>
      </c>
      <c r="C1347" s="50"/>
      <c r="D1347" s="50"/>
      <c r="E1347" s="50"/>
      <c r="F1347" s="50"/>
      <c r="G1347" s="280"/>
      <c r="H1347" s="293"/>
      <c r="I1347" s="292"/>
      <c r="J1347" s="292"/>
      <c r="K1347" s="200"/>
      <c r="L1347" s="200"/>
      <c r="M1347" s="89" t="str">
        <f>IFERROR(VLOOKUP(H1347,Lijsten!$H$1:$I$100,2,0),"")</f>
        <v/>
      </c>
      <c r="N1347" s="89" t="str" cm="1">
        <f t="array" ref="N1347">IFERROR(_xlfn.IFS(AND(LEFT(F1347,6)="Arbeid",RIGHT(F1347,3)&lt;&gt;"IKS"),IFERROR(VLOOKUP($G1347,Tb_KostenTypen[],2,0),"tarief"),RIGHT(F1347,3)="IKS","Uurtarief",LEFT(F1347,6)="Arbeid","Uurtarief",AND(LEFT(F1347,8)="Bijdrage",RIGHT(F1347,15)="(vrijwilligers)"),"Vast tarief"),"")</f>
        <v/>
      </c>
      <c r="O1347" s="90"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0"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1"/>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59"/>
      <c r="Z1347" s="49"/>
      <c r="AA1347" s="37" t="str" cm="1">
        <f t="array" ref="AA1347">IFERROR(IF(INDEX(SubsidieTabel!$Q$1:$T$9,MATCH($F1347,SubsidieTabel!$Q$1:$Q$9,0),IFERROR(MATCH(Methode_Keuze,SubsidieTabel!$Q$1:$T$1,0),2))&lt;&gt;1=TRUE,"ja",""),"")</f>
        <v/>
      </c>
    </row>
    <row r="1348" spans="1:27" ht="15" customHeight="1" x14ac:dyDescent="0.25">
      <c r="A1348" s="85"/>
      <c r="B1348" s="217" t="str">
        <f>IF(A1348&lt;&gt;"",_xlfn.MAXIFS($B$1:B1347,$A$1:A1347,A1348)+1,"")</f>
        <v/>
      </c>
      <c r="C1348" s="50"/>
      <c r="D1348" s="50"/>
      <c r="E1348" s="50"/>
      <c r="F1348" s="50"/>
      <c r="G1348" s="280"/>
      <c r="H1348" s="293"/>
      <c r="I1348" s="292"/>
      <c r="J1348" s="292"/>
      <c r="K1348" s="200"/>
      <c r="L1348" s="200"/>
      <c r="M1348" s="89" t="str">
        <f>IFERROR(VLOOKUP(H1348,Lijsten!$H$1:$I$100,2,0),"")</f>
        <v/>
      </c>
      <c r="N1348" s="89" t="str" cm="1">
        <f t="array" ref="N1348">IFERROR(_xlfn.IFS(AND(LEFT(F1348,6)="Arbeid",RIGHT(F1348,3)&lt;&gt;"IKS"),IFERROR(VLOOKUP($G1348,Tb_KostenTypen[],2,0),"tarief"),RIGHT(F1348,3)="IKS","Uurtarief",LEFT(F1348,6)="Arbeid","Uurtarief",AND(LEFT(F1348,8)="Bijdrage",RIGHT(F1348,15)="(vrijwilligers)"),"Vast tarief"),"")</f>
        <v/>
      </c>
      <c r="O1348" s="90"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0"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1"/>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59"/>
      <c r="Z1348" s="49"/>
      <c r="AA1348" s="37" t="str" cm="1">
        <f t="array" ref="AA1348">IFERROR(IF(INDEX(SubsidieTabel!$Q$1:$T$9,MATCH($F1348,SubsidieTabel!$Q$1:$Q$9,0),IFERROR(MATCH(Methode_Keuze,SubsidieTabel!$Q$1:$T$1,0),2))&lt;&gt;1=TRUE,"ja",""),"")</f>
        <v/>
      </c>
    </row>
    <row r="1349" spans="1:27" ht="15" customHeight="1" x14ac:dyDescent="0.25">
      <c r="A1349" s="85"/>
      <c r="B1349" s="217" t="str">
        <f>IF(A1349&lt;&gt;"",_xlfn.MAXIFS($B$1:B1348,$A$1:A1348,A1349)+1,"")</f>
        <v/>
      </c>
      <c r="C1349" s="50"/>
      <c r="D1349" s="50"/>
      <c r="E1349" s="50"/>
      <c r="F1349" s="50"/>
      <c r="G1349" s="280"/>
      <c r="H1349" s="293"/>
      <c r="I1349" s="292"/>
      <c r="J1349" s="292"/>
      <c r="K1349" s="200"/>
      <c r="L1349" s="200"/>
      <c r="M1349" s="89" t="str">
        <f>IFERROR(VLOOKUP(H1349,Lijsten!$H$1:$I$100,2,0),"")</f>
        <v/>
      </c>
      <c r="N1349" s="89" t="str" cm="1">
        <f t="array" ref="N1349">IFERROR(_xlfn.IFS(AND(LEFT(F1349,6)="Arbeid",RIGHT(F1349,3)&lt;&gt;"IKS"),IFERROR(VLOOKUP($G1349,Tb_KostenTypen[],2,0),"tarief"),RIGHT(F1349,3)="IKS","Uurtarief",LEFT(F1349,6)="Arbeid","Uurtarief",AND(LEFT(F1349,8)="Bijdrage",RIGHT(F1349,15)="(vrijwilligers)"),"Vast tarief"),"")</f>
        <v/>
      </c>
      <c r="O1349" s="90"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0"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1"/>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59"/>
      <c r="Z1349" s="49"/>
      <c r="AA1349" s="37" t="str" cm="1">
        <f t="array" ref="AA1349">IFERROR(IF(INDEX(SubsidieTabel!$Q$1:$T$9,MATCH($F1349,SubsidieTabel!$Q$1:$Q$9,0),IFERROR(MATCH(Methode_Keuze,SubsidieTabel!$Q$1:$T$1,0),2))&lt;&gt;1=TRUE,"ja",""),"")</f>
        <v/>
      </c>
    </row>
    <row r="1350" spans="1:27" ht="15" customHeight="1" x14ac:dyDescent="0.25">
      <c r="A1350" s="85"/>
      <c r="B1350" s="217" t="str">
        <f>IF(A1350&lt;&gt;"",_xlfn.MAXIFS($B$1:B1349,$A$1:A1349,A1350)+1,"")</f>
        <v/>
      </c>
      <c r="C1350" s="50"/>
      <c r="D1350" s="50"/>
      <c r="E1350" s="50"/>
      <c r="F1350" s="50"/>
      <c r="G1350" s="280"/>
      <c r="H1350" s="293"/>
      <c r="I1350" s="292"/>
      <c r="J1350" s="292"/>
      <c r="K1350" s="200"/>
      <c r="L1350" s="200"/>
      <c r="M1350" s="89" t="str">
        <f>IFERROR(VLOOKUP(H1350,Lijsten!$H$1:$I$100,2,0),"")</f>
        <v/>
      </c>
      <c r="N1350" s="89" t="str" cm="1">
        <f t="array" ref="N1350">IFERROR(_xlfn.IFS(AND(LEFT(F1350,6)="Arbeid",RIGHT(F1350,3)&lt;&gt;"IKS"),IFERROR(VLOOKUP($G1350,Tb_KostenTypen[],2,0),"tarief"),RIGHT(F1350,3)="IKS","Uurtarief",LEFT(F1350,6)="Arbeid","Uurtarief",AND(LEFT(F1350,8)="Bijdrage",RIGHT(F1350,15)="(vrijwilligers)"),"Vast tarief"),"")</f>
        <v/>
      </c>
      <c r="O1350" s="90"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0"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1"/>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59"/>
      <c r="Z1350" s="49"/>
      <c r="AA1350" s="37" t="str" cm="1">
        <f t="array" ref="AA1350">IFERROR(IF(INDEX(SubsidieTabel!$Q$1:$T$9,MATCH($F1350,SubsidieTabel!$Q$1:$Q$9,0),IFERROR(MATCH(Methode_Keuze,SubsidieTabel!$Q$1:$T$1,0),2))&lt;&gt;1=TRUE,"ja",""),"")</f>
        <v/>
      </c>
    </row>
    <row r="1351" spans="1:27" ht="15" customHeight="1" x14ac:dyDescent="0.25">
      <c r="A1351" s="85"/>
      <c r="B1351" s="217" t="str">
        <f>IF(A1351&lt;&gt;"",_xlfn.MAXIFS($B$1:B1350,$A$1:A1350,A1351)+1,"")</f>
        <v/>
      </c>
      <c r="C1351" s="50"/>
      <c r="D1351" s="50"/>
      <c r="E1351" s="50"/>
      <c r="F1351" s="50"/>
      <c r="G1351" s="280"/>
      <c r="H1351" s="293"/>
      <c r="I1351" s="292"/>
      <c r="J1351" s="292"/>
      <c r="K1351" s="200"/>
      <c r="L1351" s="200"/>
      <c r="M1351" s="89" t="str">
        <f>IFERROR(VLOOKUP(H1351,Lijsten!$H$1:$I$100,2,0),"")</f>
        <v/>
      </c>
      <c r="N1351" s="89" t="str" cm="1">
        <f t="array" ref="N1351">IFERROR(_xlfn.IFS(AND(LEFT(F1351,6)="Arbeid",RIGHT(F1351,3)&lt;&gt;"IKS"),IFERROR(VLOOKUP($G1351,Tb_KostenTypen[],2,0),"tarief"),RIGHT(F1351,3)="IKS","Uurtarief",LEFT(F1351,6)="Arbeid","Uurtarief",AND(LEFT(F1351,8)="Bijdrage",RIGHT(F1351,15)="(vrijwilligers)"),"Vast tarief"),"")</f>
        <v/>
      </c>
      <c r="O1351" s="90"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0"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1"/>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59"/>
      <c r="Z1351" s="49"/>
      <c r="AA1351" s="37" t="str" cm="1">
        <f t="array" ref="AA1351">IFERROR(IF(INDEX(SubsidieTabel!$Q$1:$T$9,MATCH($F1351,SubsidieTabel!$Q$1:$Q$9,0),IFERROR(MATCH(Methode_Keuze,SubsidieTabel!$Q$1:$T$1,0),2))&lt;&gt;1=TRUE,"ja",""),"")</f>
        <v/>
      </c>
    </row>
    <row r="1352" spans="1:27" ht="15" customHeight="1" x14ac:dyDescent="0.25">
      <c r="A1352" s="85"/>
      <c r="B1352" s="217" t="str">
        <f>IF(A1352&lt;&gt;"",_xlfn.MAXIFS($B$1:B1351,$A$1:A1351,A1352)+1,"")</f>
        <v/>
      </c>
      <c r="C1352" s="50"/>
      <c r="D1352" s="50"/>
      <c r="E1352" s="50"/>
      <c r="F1352" s="50"/>
      <c r="G1352" s="280"/>
      <c r="H1352" s="293"/>
      <c r="I1352" s="292"/>
      <c r="J1352" s="292"/>
      <c r="K1352" s="200"/>
      <c r="L1352" s="200"/>
      <c r="M1352" s="89" t="str">
        <f>IFERROR(VLOOKUP(H1352,Lijsten!$H$1:$I$100,2,0),"")</f>
        <v/>
      </c>
      <c r="N1352" s="89" t="str" cm="1">
        <f t="array" ref="N1352">IFERROR(_xlfn.IFS(AND(LEFT(F1352,6)="Arbeid",RIGHT(F1352,3)&lt;&gt;"IKS"),IFERROR(VLOOKUP($G1352,Tb_KostenTypen[],2,0),"tarief"),RIGHT(F1352,3)="IKS","Uurtarief",LEFT(F1352,6)="Arbeid","Uurtarief",AND(LEFT(F1352,8)="Bijdrage",RIGHT(F1352,15)="(vrijwilligers)"),"Vast tarief"),"")</f>
        <v/>
      </c>
      <c r="O1352" s="90"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0"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1"/>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59"/>
      <c r="Z1352" s="49"/>
      <c r="AA1352" s="37" t="str" cm="1">
        <f t="array" ref="AA1352">IFERROR(IF(INDEX(SubsidieTabel!$Q$1:$T$9,MATCH($F1352,SubsidieTabel!$Q$1:$Q$9,0),IFERROR(MATCH(Methode_Keuze,SubsidieTabel!$Q$1:$T$1,0),2))&lt;&gt;1=TRUE,"ja",""),"")</f>
        <v/>
      </c>
    </row>
    <row r="1353" spans="1:27" ht="15" customHeight="1" x14ac:dyDescent="0.25">
      <c r="A1353" s="85"/>
      <c r="B1353" s="217" t="str">
        <f>IF(A1353&lt;&gt;"",_xlfn.MAXIFS($B$1:B1352,$A$1:A1352,A1353)+1,"")</f>
        <v/>
      </c>
      <c r="C1353" s="50"/>
      <c r="D1353" s="50"/>
      <c r="E1353" s="50"/>
      <c r="F1353" s="50"/>
      <c r="G1353" s="280"/>
      <c r="H1353" s="293"/>
      <c r="I1353" s="292"/>
      <c r="J1353" s="292"/>
      <c r="K1353" s="200"/>
      <c r="L1353" s="200"/>
      <c r="M1353" s="89" t="str">
        <f>IFERROR(VLOOKUP(H1353,Lijsten!$H$1:$I$100,2,0),"")</f>
        <v/>
      </c>
      <c r="N1353" s="89" t="str" cm="1">
        <f t="array" ref="N1353">IFERROR(_xlfn.IFS(AND(LEFT(F1353,6)="Arbeid",RIGHT(F1353,3)&lt;&gt;"IKS"),IFERROR(VLOOKUP($G1353,Tb_KostenTypen[],2,0),"tarief"),RIGHT(F1353,3)="IKS","Uurtarief",LEFT(F1353,6)="Arbeid","Uurtarief",AND(LEFT(F1353,8)="Bijdrage",RIGHT(F1353,15)="(vrijwilligers)"),"Vast tarief"),"")</f>
        <v/>
      </c>
      <c r="O1353" s="90"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0"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1"/>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59"/>
      <c r="Z1353" s="49"/>
      <c r="AA1353" s="37" t="str" cm="1">
        <f t="array" ref="AA1353">IFERROR(IF(INDEX(SubsidieTabel!$Q$1:$T$9,MATCH($F1353,SubsidieTabel!$Q$1:$Q$9,0),IFERROR(MATCH(Methode_Keuze,SubsidieTabel!$Q$1:$T$1,0),2))&lt;&gt;1=TRUE,"ja",""),"")</f>
        <v/>
      </c>
    </row>
    <row r="1354" spans="1:27" ht="15" customHeight="1" x14ac:dyDescent="0.25">
      <c r="A1354" s="85"/>
      <c r="B1354" s="217" t="str">
        <f>IF(A1354&lt;&gt;"",_xlfn.MAXIFS($B$1:B1353,$A$1:A1353,A1354)+1,"")</f>
        <v/>
      </c>
      <c r="C1354" s="50"/>
      <c r="D1354" s="50"/>
      <c r="E1354" s="50"/>
      <c r="F1354" s="50"/>
      <c r="G1354" s="280"/>
      <c r="H1354" s="293"/>
      <c r="I1354" s="292"/>
      <c r="J1354" s="292"/>
      <c r="K1354" s="200"/>
      <c r="L1354" s="200"/>
      <c r="M1354" s="89" t="str">
        <f>IFERROR(VLOOKUP(H1354,Lijsten!$H$1:$I$100,2,0),"")</f>
        <v/>
      </c>
      <c r="N1354" s="89" t="str" cm="1">
        <f t="array" ref="N1354">IFERROR(_xlfn.IFS(AND(LEFT(F1354,6)="Arbeid",RIGHT(F1354,3)&lt;&gt;"IKS"),IFERROR(VLOOKUP($G1354,Tb_KostenTypen[],2,0),"tarief"),RIGHT(F1354,3)="IKS","Uurtarief",LEFT(F1354,6)="Arbeid","Uurtarief",AND(LEFT(F1354,8)="Bijdrage",RIGHT(F1354,15)="(vrijwilligers)"),"Vast tarief"),"")</f>
        <v/>
      </c>
      <c r="O1354" s="90"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0"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1"/>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59"/>
      <c r="Z1354" s="49"/>
      <c r="AA1354" s="37" t="str" cm="1">
        <f t="array" ref="AA1354">IFERROR(IF(INDEX(SubsidieTabel!$Q$1:$T$9,MATCH($F1354,SubsidieTabel!$Q$1:$Q$9,0),IFERROR(MATCH(Methode_Keuze,SubsidieTabel!$Q$1:$T$1,0),2))&lt;&gt;1=TRUE,"ja",""),"")</f>
        <v/>
      </c>
    </row>
    <row r="1355" spans="1:27" ht="15" customHeight="1" x14ac:dyDescent="0.25">
      <c r="A1355" s="85"/>
      <c r="B1355" s="217" t="str">
        <f>IF(A1355&lt;&gt;"",_xlfn.MAXIFS($B$1:B1354,$A$1:A1354,A1355)+1,"")</f>
        <v/>
      </c>
      <c r="C1355" s="50"/>
      <c r="D1355" s="50"/>
      <c r="E1355" s="50"/>
      <c r="F1355" s="50"/>
      <c r="G1355" s="280"/>
      <c r="H1355" s="293"/>
      <c r="I1355" s="292"/>
      <c r="J1355" s="292"/>
      <c r="K1355" s="200"/>
      <c r="L1355" s="200"/>
      <c r="M1355" s="89" t="str">
        <f>IFERROR(VLOOKUP(H1355,Lijsten!$H$1:$I$100,2,0),"")</f>
        <v/>
      </c>
      <c r="N1355" s="89" t="str" cm="1">
        <f t="array" ref="N1355">IFERROR(_xlfn.IFS(AND(LEFT(F1355,6)="Arbeid",RIGHT(F1355,3)&lt;&gt;"IKS"),IFERROR(VLOOKUP($G1355,Tb_KostenTypen[],2,0),"tarief"),RIGHT(F1355,3)="IKS","Uurtarief",LEFT(F1355,6)="Arbeid","Uurtarief",AND(LEFT(F1355,8)="Bijdrage",RIGHT(F1355,15)="(vrijwilligers)"),"Vast tarief"),"")</f>
        <v/>
      </c>
      <c r="O1355" s="90"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0"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1"/>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59"/>
      <c r="Z1355" s="49"/>
      <c r="AA1355" s="37" t="str" cm="1">
        <f t="array" ref="AA1355">IFERROR(IF(INDEX(SubsidieTabel!$Q$1:$T$9,MATCH($F1355,SubsidieTabel!$Q$1:$Q$9,0),IFERROR(MATCH(Methode_Keuze,SubsidieTabel!$Q$1:$T$1,0),2))&lt;&gt;1=TRUE,"ja",""),"")</f>
        <v/>
      </c>
    </row>
    <row r="1356" spans="1:27" ht="15" customHeight="1" x14ac:dyDescent="0.25">
      <c r="A1356" s="85"/>
      <c r="B1356" s="217" t="str">
        <f>IF(A1356&lt;&gt;"",_xlfn.MAXIFS($B$1:B1355,$A$1:A1355,A1356)+1,"")</f>
        <v/>
      </c>
      <c r="C1356" s="50"/>
      <c r="D1356" s="50"/>
      <c r="E1356" s="50"/>
      <c r="F1356" s="50"/>
      <c r="G1356" s="280"/>
      <c r="H1356" s="293"/>
      <c r="I1356" s="292"/>
      <c r="J1356" s="292"/>
      <c r="K1356" s="200"/>
      <c r="L1356" s="200"/>
      <c r="M1356" s="89" t="str">
        <f>IFERROR(VLOOKUP(H1356,Lijsten!$H$1:$I$100,2,0),"")</f>
        <v/>
      </c>
      <c r="N1356" s="89" t="str" cm="1">
        <f t="array" ref="N1356">IFERROR(_xlfn.IFS(AND(LEFT(F1356,6)="Arbeid",RIGHT(F1356,3)&lt;&gt;"IKS"),IFERROR(VLOOKUP($G1356,Tb_KostenTypen[],2,0),"tarief"),RIGHT(F1356,3)="IKS","Uurtarief",LEFT(F1356,6)="Arbeid","Uurtarief",AND(LEFT(F1356,8)="Bijdrage",RIGHT(F1356,15)="(vrijwilligers)"),"Vast tarief"),"")</f>
        <v/>
      </c>
      <c r="O1356" s="90"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0"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1"/>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59"/>
      <c r="Z1356" s="49"/>
      <c r="AA1356" s="37" t="str" cm="1">
        <f t="array" ref="AA1356">IFERROR(IF(INDEX(SubsidieTabel!$Q$1:$T$9,MATCH($F1356,SubsidieTabel!$Q$1:$Q$9,0),IFERROR(MATCH(Methode_Keuze,SubsidieTabel!$Q$1:$T$1,0),2))&lt;&gt;1=TRUE,"ja",""),"")</f>
        <v/>
      </c>
    </row>
    <row r="1357" spans="1:27" ht="15" customHeight="1" x14ac:dyDescent="0.25">
      <c r="A1357" s="85"/>
      <c r="B1357" s="217" t="str">
        <f>IF(A1357&lt;&gt;"",_xlfn.MAXIFS($B$1:B1356,$A$1:A1356,A1357)+1,"")</f>
        <v/>
      </c>
      <c r="C1357" s="50"/>
      <c r="D1357" s="50"/>
      <c r="E1357" s="50"/>
      <c r="F1357" s="50"/>
      <c r="G1357" s="280"/>
      <c r="H1357" s="293"/>
      <c r="I1357" s="292"/>
      <c r="J1357" s="292"/>
      <c r="K1357" s="200"/>
      <c r="L1357" s="200"/>
      <c r="M1357" s="89" t="str">
        <f>IFERROR(VLOOKUP(H1357,Lijsten!$H$1:$I$100,2,0),"")</f>
        <v/>
      </c>
      <c r="N1357" s="89" t="str" cm="1">
        <f t="array" ref="N1357">IFERROR(_xlfn.IFS(AND(LEFT(F1357,6)="Arbeid",RIGHT(F1357,3)&lt;&gt;"IKS"),IFERROR(VLOOKUP($G1357,Tb_KostenTypen[],2,0),"tarief"),RIGHT(F1357,3)="IKS","Uurtarief",LEFT(F1357,6)="Arbeid","Uurtarief",AND(LEFT(F1357,8)="Bijdrage",RIGHT(F1357,15)="(vrijwilligers)"),"Vast tarief"),"")</f>
        <v/>
      </c>
      <c r="O1357" s="90"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0"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1"/>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59"/>
      <c r="Z1357" s="49"/>
      <c r="AA1357" s="37" t="str" cm="1">
        <f t="array" ref="AA1357">IFERROR(IF(INDEX(SubsidieTabel!$Q$1:$T$9,MATCH($F1357,SubsidieTabel!$Q$1:$Q$9,0),IFERROR(MATCH(Methode_Keuze,SubsidieTabel!$Q$1:$T$1,0),2))&lt;&gt;1=TRUE,"ja",""),"")</f>
        <v/>
      </c>
    </row>
    <row r="1358" spans="1:27" ht="15" customHeight="1" x14ac:dyDescent="0.25">
      <c r="A1358" s="85"/>
      <c r="B1358" s="217" t="str">
        <f>IF(A1358&lt;&gt;"",_xlfn.MAXIFS($B$1:B1357,$A$1:A1357,A1358)+1,"")</f>
        <v/>
      </c>
      <c r="C1358" s="50"/>
      <c r="D1358" s="50"/>
      <c r="E1358" s="50"/>
      <c r="F1358" s="50"/>
      <c r="G1358" s="280"/>
      <c r="H1358" s="293"/>
      <c r="I1358" s="292"/>
      <c r="J1358" s="292"/>
      <c r="K1358" s="200"/>
      <c r="L1358" s="200"/>
      <c r="M1358" s="89" t="str">
        <f>IFERROR(VLOOKUP(H1358,Lijsten!$H$1:$I$100,2,0),"")</f>
        <v/>
      </c>
      <c r="N1358" s="89" t="str" cm="1">
        <f t="array" ref="N1358">IFERROR(_xlfn.IFS(AND(LEFT(F1358,6)="Arbeid",RIGHT(F1358,3)&lt;&gt;"IKS"),IFERROR(VLOOKUP($G1358,Tb_KostenTypen[],2,0),"tarief"),RIGHT(F1358,3)="IKS","Uurtarief",LEFT(F1358,6)="Arbeid","Uurtarief",AND(LEFT(F1358,8)="Bijdrage",RIGHT(F1358,15)="(vrijwilligers)"),"Vast tarief"),"")</f>
        <v/>
      </c>
      <c r="O1358" s="90"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0"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1"/>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59"/>
      <c r="Z1358" s="49"/>
      <c r="AA1358" s="37" t="str" cm="1">
        <f t="array" ref="AA1358">IFERROR(IF(INDEX(SubsidieTabel!$Q$1:$T$9,MATCH($F1358,SubsidieTabel!$Q$1:$Q$9,0),IFERROR(MATCH(Methode_Keuze,SubsidieTabel!$Q$1:$T$1,0),2))&lt;&gt;1=TRUE,"ja",""),"")</f>
        <v/>
      </c>
    </row>
    <row r="1359" spans="1:27" ht="15" customHeight="1" x14ac:dyDescent="0.25">
      <c r="A1359" s="85"/>
      <c r="B1359" s="217" t="str">
        <f>IF(A1359&lt;&gt;"",_xlfn.MAXIFS($B$1:B1358,$A$1:A1358,A1359)+1,"")</f>
        <v/>
      </c>
      <c r="C1359" s="50"/>
      <c r="D1359" s="50"/>
      <c r="E1359" s="50"/>
      <c r="F1359" s="50"/>
      <c r="G1359" s="280"/>
      <c r="H1359" s="293"/>
      <c r="I1359" s="292"/>
      <c r="J1359" s="292"/>
      <c r="K1359" s="200"/>
      <c r="L1359" s="200"/>
      <c r="M1359" s="89" t="str">
        <f>IFERROR(VLOOKUP(H1359,Lijsten!$H$1:$I$100,2,0),"")</f>
        <v/>
      </c>
      <c r="N1359" s="89" t="str" cm="1">
        <f t="array" ref="N1359">IFERROR(_xlfn.IFS(AND(LEFT(F1359,6)="Arbeid",RIGHT(F1359,3)&lt;&gt;"IKS"),IFERROR(VLOOKUP($G1359,Tb_KostenTypen[],2,0),"tarief"),RIGHT(F1359,3)="IKS","Uurtarief",LEFT(F1359,6)="Arbeid","Uurtarief",AND(LEFT(F1359,8)="Bijdrage",RIGHT(F1359,15)="(vrijwilligers)"),"Vast tarief"),"")</f>
        <v/>
      </c>
      <c r="O1359" s="90"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0"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1"/>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59"/>
      <c r="Z1359" s="49"/>
      <c r="AA1359" s="37" t="str" cm="1">
        <f t="array" ref="AA1359">IFERROR(IF(INDEX(SubsidieTabel!$Q$1:$T$9,MATCH($F1359,SubsidieTabel!$Q$1:$Q$9,0),IFERROR(MATCH(Methode_Keuze,SubsidieTabel!$Q$1:$T$1,0),2))&lt;&gt;1=TRUE,"ja",""),"")</f>
        <v/>
      </c>
    </row>
    <row r="1360" spans="1:27" ht="15" customHeight="1" x14ac:dyDescent="0.25">
      <c r="A1360" s="85"/>
      <c r="B1360" s="217" t="str">
        <f>IF(A1360&lt;&gt;"",_xlfn.MAXIFS($B$1:B1359,$A$1:A1359,A1360)+1,"")</f>
        <v/>
      </c>
      <c r="C1360" s="50"/>
      <c r="D1360" s="50"/>
      <c r="E1360" s="50"/>
      <c r="F1360" s="50"/>
      <c r="G1360" s="280"/>
      <c r="H1360" s="293"/>
      <c r="I1360" s="292"/>
      <c r="J1360" s="292"/>
      <c r="K1360" s="200"/>
      <c r="L1360" s="200"/>
      <c r="M1360" s="89" t="str">
        <f>IFERROR(VLOOKUP(H1360,Lijsten!$H$1:$I$100,2,0),"")</f>
        <v/>
      </c>
      <c r="N1360" s="89" t="str" cm="1">
        <f t="array" ref="N1360">IFERROR(_xlfn.IFS(AND(LEFT(F1360,6)="Arbeid",RIGHT(F1360,3)&lt;&gt;"IKS"),IFERROR(VLOOKUP($G1360,Tb_KostenTypen[],2,0),"tarief"),RIGHT(F1360,3)="IKS","Uurtarief",LEFT(F1360,6)="Arbeid","Uurtarief",AND(LEFT(F1360,8)="Bijdrage",RIGHT(F1360,15)="(vrijwilligers)"),"Vast tarief"),"")</f>
        <v/>
      </c>
      <c r="O1360" s="90"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0"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1"/>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59"/>
      <c r="Z1360" s="49"/>
      <c r="AA1360" s="37" t="str" cm="1">
        <f t="array" ref="AA1360">IFERROR(IF(INDEX(SubsidieTabel!$Q$1:$T$9,MATCH($F1360,SubsidieTabel!$Q$1:$Q$9,0),IFERROR(MATCH(Methode_Keuze,SubsidieTabel!$Q$1:$T$1,0),2))&lt;&gt;1=TRUE,"ja",""),"")</f>
        <v/>
      </c>
    </row>
    <row r="1361" spans="1:27" ht="15" customHeight="1" x14ac:dyDescent="0.25">
      <c r="A1361" s="85"/>
      <c r="B1361" s="217" t="str">
        <f>IF(A1361&lt;&gt;"",_xlfn.MAXIFS($B$1:B1360,$A$1:A1360,A1361)+1,"")</f>
        <v/>
      </c>
      <c r="C1361" s="50"/>
      <c r="D1361" s="50"/>
      <c r="E1361" s="50"/>
      <c r="F1361" s="50"/>
      <c r="G1361" s="280"/>
      <c r="H1361" s="293"/>
      <c r="I1361" s="292"/>
      <c r="J1361" s="292"/>
      <c r="K1361" s="200"/>
      <c r="L1361" s="200"/>
      <c r="M1361" s="89" t="str">
        <f>IFERROR(VLOOKUP(H1361,Lijsten!$H$1:$I$100,2,0),"")</f>
        <v/>
      </c>
      <c r="N1361" s="89" t="str" cm="1">
        <f t="array" ref="N1361">IFERROR(_xlfn.IFS(AND(LEFT(F1361,6)="Arbeid",RIGHT(F1361,3)&lt;&gt;"IKS"),IFERROR(VLOOKUP($G1361,Tb_KostenTypen[],2,0),"tarief"),RIGHT(F1361,3)="IKS","Uurtarief",LEFT(F1361,6)="Arbeid","Uurtarief",AND(LEFT(F1361,8)="Bijdrage",RIGHT(F1361,15)="(vrijwilligers)"),"Vast tarief"),"")</f>
        <v/>
      </c>
      <c r="O1361" s="90"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0"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1"/>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59"/>
      <c r="Z1361" s="49"/>
      <c r="AA1361" s="37" t="str" cm="1">
        <f t="array" ref="AA1361">IFERROR(IF(INDEX(SubsidieTabel!$Q$1:$T$9,MATCH($F1361,SubsidieTabel!$Q$1:$Q$9,0),IFERROR(MATCH(Methode_Keuze,SubsidieTabel!$Q$1:$T$1,0),2))&lt;&gt;1=TRUE,"ja",""),"")</f>
        <v/>
      </c>
    </row>
    <row r="1362" spans="1:27" ht="15" customHeight="1" x14ac:dyDescent="0.25">
      <c r="A1362" s="85"/>
      <c r="B1362" s="217" t="str">
        <f>IF(A1362&lt;&gt;"",_xlfn.MAXIFS($B$1:B1361,$A$1:A1361,A1362)+1,"")</f>
        <v/>
      </c>
      <c r="C1362" s="50"/>
      <c r="D1362" s="50"/>
      <c r="E1362" s="50"/>
      <c r="F1362" s="50"/>
      <c r="G1362" s="280"/>
      <c r="H1362" s="293"/>
      <c r="I1362" s="292"/>
      <c r="J1362" s="292"/>
      <c r="K1362" s="200"/>
      <c r="L1362" s="200"/>
      <c r="M1362" s="89" t="str">
        <f>IFERROR(VLOOKUP(H1362,Lijsten!$H$1:$I$100,2,0),"")</f>
        <v/>
      </c>
      <c r="N1362" s="89" t="str" cm="1">
        <f t="array" ref="N1362">IFERROR(_xlfn.IFS(AND(LEFT(F1362,6)="Arbeid",RIGHT(F1362,3)&lt;&gt;"IKS"),IFERROR(VLOOKUP($G1362,Tb_KostenTypen[],2,0),"tarief"),RIGHT(F1362,3)="IKS","Uurtarief",LEFT(F1362,6)="Arbeid","Uurtarief",AND(LEFT(F1362,8)="Bijdrage",RIGHT(F1362,15)="(vrijwilligers)"),"Vast tarief"),"")</f>
        <v/>
      </c>
      <c r="O1362" s="90"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0"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1"/>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59"/>
      <c r="Z1362" s="49"/>
      <c r="AA1362" s="37" t="str" cm="1">
        <f t="array" ref="AA1362">IFERROR(IF(INDEX(SubsidieTabel!$Q$1:$T$9,MATCH($F1362,SubsidieTabel!$Q$1:$Q$9,0),IFERROR(MATCH(Methode_Keuze,SubsidieTabel!$Q$1:$T$1,0),2))&lt;&gt;1=TRUE,"ja",""),"")</f>
        <v/>
      </c>
    </row>
    <row r="1363" spans="1:27" ht="15" customHeight="1" x14ac:dyDescent="0.25">
      <c r="A1363" s="85"/>
      <c r="B1363" s="217" t="str">
        <f>IF(A1363&lt;&gt;"",_xlfn.MAXIFS($B$1:B1362,$A$1:A1362,A1363)+1,"")</f>
        <v/>
      </c>
      <c r="C1363" s="50"/>
      <c r="D1363" s="50"/>
      <c r="E1363" s="50"/>
      <c r="F1363" s="50"/>
      <c r="G1363" s="280"/>
      <c r="H1363" s="293"/>
      <c r="I1363" s="292"/>
      <c r="J1363" s="292"/>
      <c r="K1363" s="200"/>
      <c r="L1363" s="200"/>
      <c r="M1363" s="89" t="str">
        <f>IFERROR(VLOOKUP(H1363,Lijsten!$H$1:$I$100,2,0),"")</f>
        <v/>
      </c>
      <c r="N1363" s="89" t="str" cm="1">
        <f t="array" ref="N1363">IFERROR(_xlfn.IFS(AND(LEFT(F1363,6)="Arbeid",RIGHT(F1363,3)&lt;&gt;"IKS"),IFERROR(VLOOKUP($G1363,Tb_KostenTypen[],2,0),"tarief"),RIGHT(F1363,3)="IKS","Uurtarief",LEFT(F1363,6)="Arbeid","Uurtarief",AND(LEFT(F1363,8)="Bijdrage",RIGHT(F1363,15)="(vrijwilligers)"),"Vast tarief"),"")</f>
        <v/>
      </c>
      <c r="O1363" s="90"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0"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1"/>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59"/>
      <c r="Z1363" s="49"/>
      <c r="AA1363" s="37" t="str" cm="1">
        <f t="array" ref="AA1363">IFERROR(IF(INDEX(SubsidieTabel!$Q$1:$T$9,MATCH($F1363,SubsidieTabel!$Q$1:$Q$9,0),IFERROR(MATCH(Methode_Keuze,SubsidieTabel!$Q$1:$T$1,0),2))&lt;&gt;1=TRUE,"ja",""),"")</f>
        <v/>
      </c>
    </row>
    <row r="1364" spans="1:27" ht="15" customHeight="1" x14ac:dyDescent="0.25">
      <c r="A1364" s="85"/>
      <c r="B1364" s="217" t="str">
        <f>IF(A1364&lt;&gt;"",_xlfn.MAXIFS($B$1:B1363,$A$1:A1363,A1364)+1,"")</f>
        <v/>
      </c>
      <c r="C1364" s="50"/>
      <c r="D1364" s="50"/>
      <c r="E1364" s="50"/>
      <c r="F1364" s="50"/>
      <c r="G1364" s="280"/>
      <c r="H1364" s="293"/>
      <c r="I1364" s="292"/>
      <c r="J1364" s="292"/>
      <c r="K1364" s="200"/>
      <c r="L1364" s="200"/>
      <c r="M1364" s="89" t="str">
        <f>IFERROR(VLOOKUP(H1364,Lijsten!$H$1:$I$100,2,0),"")</f>
        <v/>
      </c>
      <c r="N1364" s="89" t="str" cm="1">
        <f t="array" ref="N1364">IFERROR(_xlfn.IFS(AND(LEFT(F1364,6)="Arbeid",RIGHT(F1364,3)&lt;&gt;"IKS"),IFERROR(VLOOKUP($G1364,Tb_KostenTypen[],2,0),"tarief"),RIGHT(F1364,3)="IKS","Uurtarief",LEFT(F1364,6)="Arbeid","Uurtarief",AND(LEFT(F1364,8)="Bijdrage",RIGHT(F1364,15)="(vrijwilligers)"),"Vast tarief"),"")</f>
        <v/>
      </c>
      <c r="O1364" s="90"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0"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1"/>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59"/>
      <c r="Z1364" s="49"/>
      <c r="AA1364" s="37" t="str" cm="1">
        <f t="array" ref="AA1364">IFERROR(IF(INDEX(SubsidieTabel!$Q$1:$T$9,MATCH($F1364,SubsidieTabel!$Q$1:$Q$9,0),IFERROR(MATCH(Methode_Keuze,SubsidieTabel!$Q$1:$T$1,0),2))&lt;&gt;1=TRUE,"ja",""),"")</f>
        <v/>
      </c>
    </row>
    <row r="1365" spans="1:27" ht="15" customHeight="1" x14ac:dyDescent="0.25">
      <c r="A1365" s="85"/>
      <c r="B1365" s="217" t="str">
        <f>IF(A1365&lt;&gt;"",_xlfn.MAXIFS($B$1:B1364,$A$1:A1364,A1365)+1,"")</f>
        <v/>
      </c>
      <c r="C1365" s="50"/>
      <c r="D1365" s="50"/>
      <c r="E1365" s="50"/>
      <c r="F1365" s="50"/>
      <c r="G1365" s="280"/>
      <c r="H1365" s="293"/>
      <c r="I1365" s="292"/>
      <c r="J1365" s="292"/>
      <c r="K1365" s="200"/>
      <c r="L1365" s="200"/>
      <c r="M1365" s="89" t="str">
        <f>IFERROR(VLOOKUP(H1365,Lijsten!$H$1:$I$100,2,0),"")</f>
        <v/>
      </c>
      <c r="N1365" s="89" t="str" cm="1">
        <f t="array" ref="N1365">IFERROR(_xlfn.IFS(AND(LEFT(F1365,6)="Arbeid",RIGHT(F1365,3)&lt;&gt;"IKS"),IFERROR(VLOOKUP($G1365,Tb_KostenTypen[],2,0),"tarief"),RIGHT(F1365,3)="IKS","Uurtarief",LEFT(F1365,6)="Arbeid","Uurtarief",AND(LEFT(F1365,8)="Bijdrage",RIGHT(F1365,15)="(vrijwilligers)"),"Vast tarief"),"")</f>
        <v/>
      </c>
      <c r="O1365" s="90"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0"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1"/>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59"/>
      <c r="Z1365" s="49"/>
      <c r="AA1365" s="37" t="str" cm="1">
        <f t="array" ref="AA1365">IFERROR(IF(INDEX(SubsidieTabel!$Q$1:$T$9,MATCH($F1365,SubsidieTabel!$Q$1:$Q$9,0),IFERROR(MATCH(Methode_Keuze,SubsidieTabel!$Q$1:$T$1,0),2))&lt;&gt;1=TRUE,"ja",""),"")</f>
        <v/>
      </c>
    </row>
    <row r="1366" spans="1:27" ht="15" customHeight="1" x14ac:dyDescent="0.25">
      <c r="A1366" s="85"/>
      <c r="B1366" s="217" t="str">
        <f>IF(A1366&lt;&gt;"",_xlfn.MAXIFS($B$1:B1365,$A$1:A1365,A1366)+1,"")</f>
        <v/>
      </c>
      <c r="C1366" s="50"/>
      <c r="D1366" s="50"/>
      <c r="E1366" s="50"/>
      <c r="F1366" s="50"/>
      <c r="G1366" s="280"/>
      <c r="H1366" s="293"/>
      <c r="I1366" s="292"/>
      <c r="J1366" s="292"/>
      <c r="K1366" s="200"/>
      <c r="L1366" s="200"/>
      <c r="M1366" s="89" t="str">
        <f>IFERROR(VLOOKUP(H1366,Lijsten!$H$1:$I$100,2,0),"")</f>
        <v/>
      </c>
      <c r="N1366" s="89" t="str" cm="1">
        <f t="array" ref="N1366">IFERROR(_xlfn.IFS(AND(LEFT(F1366,6)="Arbeid",RIGHT(F1366,3)&lt;&gt;"IKS"),IFERROR(VLOOKUP($G1366,Tb_KostenTypen[],2,0),"tarief"),RIGHT(F1366,3)="IKS","Uurtarief",LEFT(F1366,6)="Arbeid","Uurtarief",AND(LEFT(F1366,8)="Bijdrage",RIGHT(F1366,15)="(vrijwilligers)"),"Vast tarief"),"")</f>
        <v/>
      </c>
      <c r="O1366" s="90"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0"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1"/>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59"/>
      <c r="Z1366" s="49"/>
      <c r="AA1366" s="37" t="str" cm="1">
        <f t="array" ref="AA1366">IFERROR(IF(INDEX(SubsidieTabel!$Q$1:$T$9,MATCH($F1366,SubsidieTabel!$Q$1:$Q$9,0),IFERROR(MATCH(Methode_Keuze,SubsidieTabel!$Q$1:$T$1,0),2))&lt;&gt;1=TRUE,"ja",""),"")</f>
        <v/>
      </c>
    </row>
    <row r="1367" spans="1:27" ht="15" customHeight="1" x14ac:dyDescent="0.25">
      <c r="A1367" s="85"/>
      <c r="B1367" s="217" t="str">
        <f>IF(A1367&lt;&gt;"",_xlfn.MAXIFS($B$1:B1366,$A$1:A1366,A1367)+1,"")</f>
        <v/>
      </c>
      <c r="C1367" s="50"/>
      <c r="D1367" s="50"/>
      <c r="E1367" s="50"/>
      <c r="F1367" s="50"/>
      <c r="G1367" s="280"/>
      <c r="H1367" s="293"/>
      <c r="I1367" s="292"/>
      <c r="J1367" s="292"/>
      <c r="K1367" s="200"/>
      <c r="L1367" s="200"/>
      <c r="M1367" s="89" t="str">
        <f>IFERROR(VLOOKUP(H1367,Lijsten!$H$1:$I$100,2,0),"")</f>
        <v/>
      </c>
      <c r="N1367" s="89" t="str" cm="1">
        <f t="array" ref="N1367">IFERROR(_xlfn.IFS(AND(LEFT(F1367,6)="Arbeid",RIGHT(F1367,3)&lt;&gt;"IKS"),IFERROR(VLOOKUP($G1367,Tb_KostenTypen[],2,0),"tarief"),RIGHT(F1367,3)="IKS","Uurtarief",LEFT(F1367,6)="Arbeid","Uurtarief",AND(LEFT(F1367,8)="Bijdrage",RIGHT(F1367,15)="(vrijwilligers)"),"Vast tarief"),"")</f>
        <v/>
      </c>
      <c r="O1367" s="90"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0"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1"/>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59"/>
      <c r="Z1367" s="49"/>
      <c r="AA1367" s="37" t="str" cm="1">
        <f t="array" ref="AA1367">IFERROR(IF(INDEX(SubsidieTabel!$Q$1:$T$9,MATCH($F1367,SubsidieTabel!$Q$1:$Q$9,0),IFERROR(MATCH(Methode_Keuze,SubsidieTabel!$Q$1:$T$1,0),2))&lt;&gt;1=TRUE,"ja",""),"")</f>
        <v/>
      </c>
    </row>
    <row r="1368" spans="1:27" ht="15" customHeight="1" x14ac:dyDescent="0.25">
      <c r="A1368" s="85"/>
      <c r="B1368" s="217" t="str">
        <f>IF(A1368&lt;&gt;"",_xlfn.MAXIFS($B$1:B1367,$A$1:A1367,A1368)+1,"")</f>
        <v/>
      </c>
      <c r="C1368" s="50"/>
      <c r="D1368" s="50"/>
      <c r="E1368" s="50"/>
      <c r="F1368" s="50"/>
      <c r="G1368" s="280"/>
      <c r="H1368" s="293"/>
      <c r="I1368" s="292"/>
      <c r="J1368" s="292"/>
      <c r="K1368" s="200"/>
      <c r="L1368" s="200"/>
      <c r="M1368" s="89" t="str">
        <f>IFERROR(VLOOKUP(H1368,Lijsten!$H$1:$I$100,2,0),"")</f>
        <v/>
      </c>
      <c r="N1368" s="89" t="str" cm="1">
        <f t="array" ref="N1368">IFERROR(_xlfn.IFS(AND(LEFT(F1368,6)="Arbeid",RIGHT(F1368,3)&lt;&gt;"IKS"),IFERROR(VLOOKUP($G1368,Tb_KostenTypen[],2,0),"tarief"),RIGHT(F1368,3)="IKS","Uurtarief",LEFT(F1368,6)="Arbeid","Uurtarief",AND(LEFT(F1368,8)="Bijdrage",RIGHT(F1368,15)="(vrijwilligers)"),"Vast tarief"),"")</f>
        <v/>
      </c>
      <c r="O1368" s="90"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0"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1"/>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59"/>
      <c r="Z1368" s="49"/>
      <c r="AA1368" s="37" t="str" cm="1">
        <f t="array" ref="AA1368">IFERROR(IF(INDEX(SubsidieTabel!$Q$1:$T$9,MATCH($F1368,SubsidieTabel!$Q$1:$Q$9,0),IFERROR(MATCH(Methode_Keuze,SubsidieTabel!$Q$1:$T$1,0),2))&lt;&gt;1=TRUE,"ja",""),"")</f>
        <v/>
      </c>
    </row>
    <row r="1369" spans="1:27" ht="15" customHeight="1" x14ac:dyDescent="0.25">
      <c r="A1369" s="85"/>
      <c r="B1369" s="217" t="str">
        <f>IF(A1369&lt;&gt;"",_xlfn.MAXIFS($B$1:B1368,$A$1:A1368,A1369)+1,"")</f>
        <v/>
      </c>
      <c r="C1369" s="50"/>
      <c r="D1369" s="50"/>
      <c r="E1369" s="50"/>
      <c r="F1369" s="50"/>
      <c r="G1369" s="280"/>
      <c r="H1369" s="293"/>
      <c r="I1369" s="292"/>
      <c r="J1369" s="292"/>
      <c r="K1369" s="200"/>
      <c r="L1369" s="200"/>
      <c r="M1369" s="89" t="str">
        <f>IFERROR(VLOOKUP(H1369,Lijsten!$H$1:$I$100,2,0),"")</f>
        <v/>
      </c>
      <c r="N1369" s="89" t="str" cm="1">
        <f t="array" ref="N1369">IFERROR(_xlfn.IFS(AND(LEFT(F1369,6)="Arbeid",RIGHT(F1369,3)&lt;&gt;"IKS"),IFERROR(VLOOKUP($G1369,Tb_KostenTypen[],2,0),"tarief"),RIGHT(F1369,3)="IKS","Uurtarief",LEFT(F1369,6)="Arbeid","Uurtarief",AND(LEFT(F1369,8)="Bijdrage",RIGHT(F1369,15)="(vrijwilligers)"),"Vast tarief"),"")</f>
        <v/>
      </c>
      <c r="O1369" s="90"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0"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1"/>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59"/>
      <c r="Z1369" s="49"/>
      <c r="AA1369" s="37" t="str" cm="1">
        <f t="array" ref="AA1369">IFERROR(IF(INDEX(SubsidieTabel!$Q$1:$T$9,MATCH($F1369,SubsidieTabel!$Q$1:$Q$9,0),IFERROR(MATCH(Methode_Keuze,SubsidieTabel!$Q$1:$T$1,0),2))&lt;&gt;1=TRUE,"ja",""),"")</f>
        <v/>
      </c>
    </row>
    <row r="1370" spans="1:27" ht="15" customHeight="1" x14ac:dyDescent="0.25">
      <c r="A1370" s="85"/>
      <c r="B1370" s="217" t="str">
        <f>IF(A1370&lt;&gt;"",_xlfn.MAXIFS($B$1:B1369,$A$1:A1369,A1370)+1,"")</f>
        <v/>
      </c>
      <c r="C1370" s="50"/>
      <c r="D1370" s="50"/>
      <c r="E1370" s="50"/>
      <c r="F1370" s="50"/>
      <c r="G1370" s="280"/>
      <c r="H1370" s="293"/>
      <c r="I1370" s="292"/>
      <c r="J1370" s="292"/>
      <c r="K1370" s="200"/>
      <c r="L1370" s="200"/>
      <c r="M1370" s="89" t="str">
        <f>IFERROR(VLOOKUP(H1370,Lijsten!$H$1:$I$100,2,0),"")</f>
        <v/>
      </c>
      <c r="N1370" s="89" t="str" cm="1">
        <f t="array" ref="N1370">IFERROR(_xlfn.IFS(AND(LEFT(F1370,6)="Arbeid",RIGHT(F1370,3)&lt;&gt;"IKS"),IFERROR(VLOOKUP($G1370,Tb_KostenTypen[],2,0),"tarief"),RIGHT(F1370,3)="IKS","Uurtarief",LEFT(F1370,6)="Arbeid","Uurtarief",AND(LEFT(F1370,8)="Bijdrage",RIGHT(F1370,15)="(vrijwilligers)"),"Vast tarief"),"")</f>
        <v/>
      </c>
      <c r="O1370" s="90"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0"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1"/>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59"/>
      <c r="Z1370" s="49"/>
      <c r="AA1370" s="37" t="str" cm="1">
        <f t="array" ref="AA1370">IFERROR(IF(INDEX(SubsidieTabel!$Q$1:$T$9,MATCH($F1370,SubsidieTabel!$Q$1:$Q$9,0),IFERROR(MATCH(Methode_Keuze,SubsidieTabel!$Q$1:$T$1,0),2))&lt;&gt;1=TRUE,"ja",""),"")</f>
        <v/>
      </c>
    </row>
    <row r="1371" spans="1:27" ht="15" customHeight="1" x14ac:dyDescent="0.25">
      <c r="A1371" s="85"/>
      <c r="B1371" s="217" t="str">
        <f>IF(A1371&lt;&gt;"",_xlfn.MAXIFS($B$1:B1370,$A$1:A1370,A1371)+1,"")</f>
        <v/>
      </c>
      <c r="C1371" s="50"/>
      <c r="D1371" s="50"/>
      <c r="E1371" s="50"/>
      <c r="F1371" s="50"/>
      <c r="G1371" s="280"/>
      <c r="H1371" s="293"/>
      <c r="I1371" s="292"/>
      <c r="J1371" s="292"/>
      <c r="K1371" s="200"/>
      <c r="L1371" s="200"/>
      <c r="M1371" s="89" t="str">
        <f>IFERROR(VLOOKUP(H1371,Lijsten!$H$1:$I$100,2,0),"")</f>
        <v/>
      </c>
      <c r="N1371" s="89" t="str" cm="1">
        <f t="array" ref="N1371">IFERROR(_xlfn.IFS(AND(LEFT(F1371,6)="Arbeid",RIGHT(F1371,3)&lt;&gt;"IKS"),IFERROR(VLOOKUP($G1371,Tb_KostenTypen[],2,0),"tarief"),RIGHT(F1371,3)="IKS","Uurtarief",LEFT(F1371,6)="Arbeid","Uurtarief",AND(LEFT(F1371,8)="Bijdrage",RIGHT(F1371,15)="(vrijwilligers)"),"Vast tarief"),"")</f>
        <v/>
      </c>
      <c r="O1371" s="90"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0"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1"/>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59"/>
      <c r="Z1371" s="49"/>
      <c r="AA1371" s="37" t="str" cm="1">
        <f t="array" ref="AA1371">IFERROR(IF(INDEX(SubsidieTabel!$Q$1:$T$9,MATCH($F1371,SubsidieTabel!$Q$1:$Q$9,0),IFERROR(MATCH(Methode_Keuze,SubsidieTabel!$Q$1:$T$1,0),2))&lt;&gt;1=TRUE,"ja",""),"")</f>
        <v/>
      </c>
    </row>
    <row r="1372" spans="1:27" ht="15" customHeight="1" x14ac:dyDescent="0.25">
      <c r="A1372" s="85"/>
      <c r="B1372" s="217" t="str">
        <f>IF(A1372&lt;&gt;"",_xlfn.MAXIFS($B$1:B1371,$A$1:A1371,A1372)+1,"")</f>
        <v/>
      </c>
      <c r="C1372" s="50"/>
      <c r="D1372" s="50"/>
      <c r="E1372" s="50"/>
      <c r="F1372" s="50"/>
      <c r="G1372" s="280"/>
      <c r="H1372" s="293"/>
      <c r="I1372" s="292"/>
      <c r="J1372" s="292"/>
      <c r="K1372" s="200"/>
      <c r="L1372" s="200"/>
      <c r="M1372" s="89" t="str">
        <f>IFERROR(VLOOKUP(H1372,Lijsten!$H$1:$I$100,2,0),"")</f>
        <v/>
      </c>
      <c r="N1372" s="89" t="str" cm="1">
        <f t="array" ref="N1372">IFERROR(_xlfn.IFS(AND(LEFT(F1372,6)="Arbeid",RIGHT(F1372,3)&lt;&gt;"IKS"),IFERROR(VLOOKUP($G1372,Tb_KostenTypen[],2,0),"tarief"),RIGHT(F1372,3)="IKS","Uurtarief",LEFT(F1372,6)="Arbeid","Uurtarief",AND(LEFT(F1372,8)="Bijdrage",RIGHT(F1372,15)="(vrijwilligers)"),"Vast tarief"),"")</f>
        <v/>
      </c>
      <c r="O1372" s="90"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0"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1"/>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59"/>
      <c r="Z1372" s="49"/>
      <c r="AA1372" s="37" t="str" cm="1">
        <f t="array" ref="AA1372">IFERROR(IF(INDEX(SubsidieTabel!$Q$1:$T$9,MATCH($F1372,SubsidieTabel!$Q$1:$Q$9,0),IFERROR(MATCH(Methode_Keuze,SubsidieTabel!$Q$1:$T$1,0),2))&lt;&gt;1=TRUE,"ja",""),"")</f>
        <v/>
      </c>
    </row>
    <row r="1373" spans="1:27" ht="15" customHeight="1" x14ac:dyDescent="0.25">
      <c r="A1373" s="85"/>
      <c r="B1373" s="217" t="str">
        <f>IF(A1373&lt;&gt;"",_xlfn.MAXIFS($B$1:B1372,$A$1:A1372,A1373)+1,"")</f>
        <v/>
      </c>
      <c r="C1373" s="50"/>
      <c r="D1373" s="50"/>
      <c r="E1373" s="50"/>
      <c r="F1373" s="50"/>
      <c r="G1373" s="280"/>
      <c r="H1373" s="293"/>
      <c r="I1373" s="292"/>
      <c r="J1373" s="292"/>
      <c r="K1373" s="200"/>
      <c r="L1373" s="200"/>
      <c r="M1373" s="89" t="str">
        <f>IFERROR(VLOOKUP(H1373,Lijsten!$H$1:$I$100,2,0),"")</f>
        <v/>
      </c>
      <c r="N1373" s="89" t="str" cm="1">
        <f t="array" ref="N1373">IFERROR(_xlfn.IFS(AND(LEFT(F1373,6)="Arbeid",RIGHT(F1373,3)&lt;&gt;"IKS"),IFERROR(VLOOKUP($G1373,Tb_KostenTypen[],2,0),"tarief"),RIGHT(F1373,3)="IKS","Uurtarief",LEFT(F1373,6)="Arbeid","Uurtarief",AND(LEFT(F1373,8)="Bijdrage",RIGHT(F1373,15)="(vrijwilligers)"),"Vast tarief"),"")</f>
        <v/>
      </c>
      <c r="O1373" s="90"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0"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1"/>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59"/>
      <c r="Z1373" s="49"/>
      <c r="AA1373" s="37" t="str" cm="1">
        <f t="array" ref="AA1373">IFERROR(IF(INDEX(SubsidieTabel!$Q$1:$T$9,MATCH($F1373,SubsidieTabel!$Q$1:$Q$9,0),IFERROR(MATCH(Methode_Keuze,SubsidieTabel!$Q$1:$T$1,0),2))&lt;&gt;1=TRUE,"ja",""),"")</f>
        <v/>
      </c>
    </row>
    <row r="1374" spans="1:27" ht="15" customHeight="1" x14ac:dyDescent="0.25">
      <c r="A1374" s="85"/>
      <c r="B1374" s="217" t="str">
        <f>IF(A1374&lt;&gt;"",_xlfn.MAXIFS($B$1:B1373,$A$1:A1373,A1374)+1,"")</f>
        <v/>
      </c>
      <c r="C1374" s="50"/>
      <c r="D1374" s="50"/>
      <c r="E1374" s="50"/>
      <c r="F1374" s="50"/>
      <c r="G1374" s="280"/>
      <c r="H1374" s="293"/>
      <c r="I1374" s="292"/>
      <c r="J1374" s="292"/>
      <c r="K1374" s="200"/>
      <c r="L1374" s="200"/>
      <c r="M1374" s="89" t="str">
        <f>IFERROR(VLOOKUP(H1374,Lijsten!$H$1:$I$100,2,0),"")</f>
        <v/>
      </c>
      <c r="N1374" s="89" t="str" cm="1">
        <f t="array" ref="N1374">IFERROR(_xlfn.IFS(AND(LEFT(F1374,6)="Arbeid",RIGHT(F1374,3)&lt;&gt;"IKS"),IFERROR(VLOOKUP($G1374,Tb_KostenTypen[],2,0),"tarief"),RIGHT(F1374,3)="IKS","Uurtarief",LEFT(F1374,6)="Arbeid","Uurtarief",AND(LEFT(F1374,8)="Bijdrage",RIGHT(F1374,15)="(vrijwilligers)"),"Vast tarief"),"")</f>
        <v/>
      </c>
      <c r="O1374" s="90"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0"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1"/>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59"/>
      <c r="Z1374" s="49"/>
      <c r="AA1374" s="37" t="str" cm="1">
        <f t="array" ref="AA1374">IFERROR(IF(INDEX(SubsidieTabel!$Q$1:$T$9,MATCH($F1374,SubsidieTabel!$Q$1:$Q$9,0),IFERROR(MATCH(Methode_Keuze,SubsidieTabel!$Q$1:$T$1,0),2))&lt;&gt;1=TRUE,"ja",""),"")</f>
        <v/>
      </c>
    </row>
    <row r="1375" spans="1:27" ht="15" customHeight="1" x14ac:dyDescent="0.25">
      <c r="A1375" s="85"/>
      <c r="B1375" s="217" t="str">
        <f>IF(A1375&lt;&gt;"",_xlfn.MAXIFS($B$1:B1374,$A$1:A1374,A1375)+1,"")</f>
        <v/>
      </c>
      <c r="C1375" s="50"/>
      <c r="D1375" s="50"/>
      <c r="E1375" s="50"/>
      <c r="F1375" s="50"/>
      <c r="G1375" s="280"/>
      <c r="H1375" s="293"/>
      <c r="I1375" s="292"/>
      <c r="J1375" s="292"/>
      <c r="K1375" s="200"/>
      <c r="L1375" s="200"/>
      <c r="M1375" s="89" t="str">
        <f>IFERROR(VLOOKUP(H1375,Lijsten!$H$1:$I$100,2,0),"")</f>
        <v/>
      </c>
      <c r="N1375" s="89" t="str" cm="1">
        <f t="array" ref="N1375">IFERROR(_xlfn.IFS(AND(LEFT(F1375,6)="Arbeid",RIGHT(F1375,3)&lt;&gt;"IKS"),IFERROR(VLOOKUP($G1375,Tb_KostenTypen[],2,0),"tarief"),RIGHT(F1375,3)="IKS","Uurtarief",LEFT(F1375,6)="Arbeid","Uurtarief",AND(LEFT(F1375,8)="Bijdrage",RIGHT(F1375,15)="(vrijwilligers)"),"Vast tarief"),"")</f>
        <v/>
      </c>
      <c r="O1375" s="90"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0"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1"/>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59"/>
      <c r="Z1375" s="49"/>
      <c r="AA1375" s="37" t="str" cm="1">
        <f t="array" ref="AA1375">IFERROR(IF(INDEX(SubsidieTabel!$Q$1:$T$9,MATCH($F1375,SubsidieTabel!$Q$1:$Q$9,0),IFERROR(MATCH(Methode_Keuze,SubsidieTabel!$Q$1:$T$1,0),2))&lt;&gt;1=TRUE,"ja",""),"")</f>
        <v/>
      </c>
    </row>
    <row r="1376" spans="1:27" ht="15" customHeight="1" x14ac:dyDescent="0.25">
      <c r="A1376" s="85"/>
      <c r="B1376" s="217" t="str">
        <f>IF(A1376&lt;&gt;"",_xlfn.MAXIFS($B$1:B1375,$A$1:A1375,A1376)+1,"")</f>
        <v/>
      </c>
      <c r="C1376" s="50"/>
      <c r="D1376" s="50"/>
      <c r="E1376" s="50"/>
      <c r="F1376" s="50"/>
      <c r="G1376" s="280"/>
      <c r="H1376" s="293"/>
      <c r="I1376" s="292"/>
      <c r="J1376" s="292"/>
      <c r="K1376" s="200"/>
      <c r="L1376" s="200"/>
      <c r="M1376" s="89" t="str">
        <f>IFERROR(VLOOKUP(H1376,Lijsten!$H$1:$I$100,2,0),"")</f>
        <v/>
      </c>
      <c r="N1376" s="89" t="str" cm="1">
        <f t="array" ref="N1376">IFERROR(_xlfn.IFS(AND(LEFT(F1376,6)="Arbeid",RIGHT(F1376,3)&lt;&gt;"IKS"),IFERROR(VLOOKUP($G1376,Tb_KostenTypen[],2,0),"tarief"),RIGHT(F1376,3)="IKS","Uurtarief",LEFT(F1376,6)="Arbeid","Uurtarief",AND(LEFT(F1376,8)="Bijdrage",RIGHT(F1376,15)="(vrijwilligers)"),"Vast tarief"),"")</f>
        <v/>
      </c>
      <c r="O1376" s="90"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0"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1"/>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59"/>
      <c r="Z1376" s="49"/>
      <c r="AA1376" s="37" t="str" cm="1">
        <f t="array" ref="AA1376">IFERROR(IF(INDEX(SubsidieTabel!$Q$1:$T$9,MATCH($F1376,SubsidieTabel!$Q$1:$Q$9,0),IFERROR(MATCH(Methode_Keuze,SubsidieTabel!$Q$1:$T$1,0),2))&lt;&gt;1=TRUE,"ja",""),"")</f>
        <v/>
      </c>
    </row>
    <row r="1377" spans="1:27" ht="15" customHeight="1" x14ac:dyDescent="0.25">
      <c r="A1377" s="85"/>
      <c r="B1377" s="217" t="str">
        <f>IF(A1377&lt;&gt;"",_xlfn.MAXIFS($B$1:B1376,$A$1:A1376,A1377)+1,"")</f>
        <v/>
      </c>
      <c r="C1377" s="50"/>
      <c r="D1377" s="50"/>
      <c r="E1377" s="50"/>
      <c r="F1377" s="50"/>
      <c r="G1377" s="280"/>
      <c r="H1377" s="293"/>
      <c r="I1377" s="292"/>
      <c r="J1377" s="292"/>
      <c r="K1377" s="200"/>
      <c r="L1377" s="200"/>
      <c r="M1377" s="89" t="str">
        <f>IFERROR(VLOOKUP(H1377,Lijsten!$H$1:$I$100,2,0),"")</f>
        <v/>
      </c>
      <c r="N1377" s="89" t="str" cm="1">
        <f t="array" ref="N1377">IFERROR(_xlfn.IFS(AND(LEFT(F1377,6)="Arbeid",RIGHT(F1377,3)&lt;&gt;"IKS"),IFERROR(VLOOKUP($G1377,Tb_KostenTypen[],2,0),"tarief"),RIGHT(F1377,3)="IKS","Uurtarief",LEFT(F1377,6)="Arbeid","Uurtarief",AND(LEFT(F1377,8)="Bijdrage",RIGHT(F1377,15)="(vrijwilligers)"),"Vast tarief"),"")</f>
        <v/>
      </c>
      <c r="O1377" s="90"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0"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1"/>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59"/>
      <c r="Z1377" s="49"/>
      <c r="AA1377" s="37" t="str" cm="1">
        <f t="array" ref="AA1377">IFERROR(IF(INDEX(SubsidieTabel!$Q$1:$T$9,MATCH($F1377,SubsidieTabel!$Q$1:$Q$9,0),IFERROR(MATCH(Methode_Keuze,SubsidieTabel!$Q$1:$T$1,0),2))&lt;&gt;1=TRUE,"ja",""),"")</f>
        <v/>
      </c>
    </row>
    <row r="1378" spans="1:27" ht="15" customHeight="1" x14ac:dyDescent="0.25">
      <c r="A1378" s="85"/>
      <c r="B1378" s="217" t="str">
        <f>IF(A1378&lt;&gt;"",_xlfn.MAXIFS($B$1:B1377,$A$1:A1377,A1378)+1,"")</f>
        <v/>
      </c>
      <c r="C1378" s="50"/>
      <c r="D1378" s="50"/>
      <c r="E1378" s="50"/>
      <c r="F1378" s="50"/>
      <c r="G1378" s="280"/>
      <c r="H1378" s="293"/>
      <c r="I1378" s="292"/>
      <c r="J1378" s="292"/>
      <c r="K1378" s="200"/>
      <c r="L1378" s="200"/>
      <c r="M1378" s="89" t="str">
        <f>IFERROR(VLOOKUP(H1378,Lijsten!$H$1:$I$100,2,0),"")</f>
        <v/>
      </c>
      <c r="N1378" s="89" t="str" cm="1">
        <f t="array" ref="N1378">IFERROR(_xlfn.IFS(AND(LEFT(F1378,6)="Arbeid",RIGHT(F1378,3)&lt;&gt;"IKS"),IFERROR(VLOOKUP($G1378,Tb_KostenTypen[],2,0),"tarief"),RIGHT(F1378,3)="IKS","Uurtarief",LEFT(F1378,6)="Arbeid","Uurtarief",AND(LEFT(F1378,8)="Bijdrage",RIGHT(F1378,15)="(vrijwilligers)"),"Vast tarief"),"")</f>
        <v/>
      </c>
      <c r="O1378" s="90"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0"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1"/>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59"/>
      <c r="Z1378" s="49"/>
      <c r="AA1378" s="37" t="str" cm="1">
        <f t="array" ref="AA1378">IFERROR(IF(INDEX(SubsidieTabel!$Q$1:$T$9,MATCH($F1378,SubsidieTabel!$Q$1:$Q$9,0),IFERROR(MATCH(Methode_Keuze,SubsidieTabel!$Q$1:$T$1,0),2))&lt;&gt;1=TRUE,"ja",""),"")</f>
        <v/>
      </c>
    </row>
    <row r="1379" spans="1:27" ht="15" customHeight="1" x14ac:dyDescent="0.25">
      <c r="A1379" s="85"/>
      <c r="B1379" s="217" t="str">
        <f>IF(A1379&lt;&gt;"",_xlfn.MAXIFS($B$1:B1378,$A$1:A1378,A1379)+1,"")</f>
        <v/>
      </c>
      <c r="C1379" s="50"/>
      <c r="D1379" s="50"/>
      <c r="E1379" s="50"/>
      <c r="F1379" s="50"/>
      <c r="G1379" s="280"/>
      <c r="H1379" s="293"/>
      <c r="I1379" s="292"/>
      <c r="J1379" s="292"/>
      <c r="K1379" s="200"/>
      <c r="L1379" s="200"/>
      <c r="M1379" s="89" t="str">
        <f>IFERROR(VLOOKUP(H1379,Lijsten!$H$1:$I$100,2,0),"")</f>
        <v/>
      </c>
      <c r="N1379" s="89" t="str" cm="1">
        <f t="array" ref="N1379">IFERROR(_xlfn.IFS(AND(LEFT(F1379,6)="Arbeid",RIGHT(F1379,3)&lt;&gt;"IKS"),IFERROR(VLOOKUP($G1379,Tb_KostenTypen[],2,0),"tarief"),RIGHT(F1379,3)="IKS","Uurtarief",LEFT(F1379,6)="Arbeid","Uurtarief",AND(LEFT(F1379,8)="Bijdrage",RIGHT(F1379,15)="(vrijwilligers)"),"Vast tarief"),"")</f>
        <v/>
      </c>
      <c r="O1379" s="90"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0"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1"/>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59"/>
      <c r="Z1379" s="49"/>
      <c r="AA1379" s="37" t="str" cm="1">
        <f t="array" ref="AA1379">IFERROR(IF(INDEX(SubsidieTabel!$Q$1:$T$9,MATCH($F1379,SubsidieTabel!$Q$1:$Q$9,0),IFERROR(MATCH(Methode_Keuze,SubsidieTabel!$Q$1:$T$1,0),2))&lt;&gt;1=TRUE,"ja",""),"")</f>
        <v/>
      </c>
    </row>
    <row r="1380" spans="1:27" ht="15" customHeight="1" x14ac:dyDescent="0.25">
      <c r="A1380" s="85"/>
      <c r="B1380" s="217" t="str">
        <f>IF(A1380&lt;&gt;"",_xlfn.MAXIFS($B$1:B1379,$A$1:A1379,A1380)+1,"")</f>
        <v/>
      </c>
      <c r="C1380" s="50"/>
      <c r="D1380" s="50"/>
      <c r="E1380" s="50"/>
      <c r="F1380" s="50"/>
      <c r="G1380" s="280"/>
      <c r="H1380" s="293"/>
      <c r="I1380" s="292"/>
      <c r="J1380" s="292"/>
      <c r="K1380" s="200"/>
      <c r="L1380" s="200"/>
      <c r="M1380" s="89" t="str">
        <f>IFERROR(VLOOKUP(H1380,Lijsten!$H$1:$I$100,2,0),"")</f>
        <v/>
      </c>
      <c r="N1380" s="89" t="str" cm="1">
        <f t="array" ref="N1380">IFERROR(_xlfn.IFS(AND(LEFT(F1380,6)="Arbeid",RIGHT(F1380,3)&lt;&gt;"IKS"),IFERROR(VLOOKUP($G1380,Tb_KostenTypen[],2,0),"tarief"),RIGHT(F1380,3)="IKS","Uurtarief",LEFT(F1380,6)="Arbeid","Uurtarief",AND(LEFT(F1380,8)="Bijdrage",RIGHT(F1380,15)="(vrijwilligers)"),"Vast tarief"),"")</f>
        <v/>
      </c>
      <c r="O1380" s="90"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0"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1"/>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59"/>
      <c r="Z1380" s="49"/>
      <c r="AA1380" s="37" t="str" cm="1">
        <f t="array" ref="AA1380">IFERROR(IF(INDEX(SubsidieTabel!$Q$1:$T$9,MATCH($F1380,SubsidieTabel!$Q$1:$Q$9,0),IFERROR(MATCH(Methode_Keuze,SubsidieTabel!$Q$1:$T$1,0),2))&lt;&gt;1=TRUE,"ja",""),"")</f>
        <v/>
      </c>
    </row>
    <row r="1381" spans="1:27" ht="15" customHeight="1" x14ac:dyDescent="0.25">
      <c r="A1381" s="85"/>
      <c r="B1381" s="217" t="str">
        <f>IF(A1381&lt;&gt;"",_xlfn.MAXIFS($B$1:B1380,$A$1:A1380,A1381)+1,"")</f>
        <v/>
      </c>
      <c r="C1381" s="50"/>
      <c r="D1381" s="50"/>
      <c r="E1381" s="50"/>
      <c r="F1381" s="50"/>
      <c r="G1381" s="280"/>
      <c r="H1381" s="293"/>
      <c r="I1381" s="292"/>
      <c r="J1381" s="292"/>
      <c r="K1381" s="200"/>
      <c r="L1381" s="200"/>
      <c r="M1381" s="89" t="str">
        <f>IFERROR(VLOOKUP(H1381,Lijsten!$H$1:$I$100,2,0),"")</f>
        <v/>
      </c>
      <c r="N1381" s="89" t="str" cm="1">
        <f t="array" ref="N1381">IFERROR(_xlfn.IFS(AND(LEFT(F1381,6)="Arbeid",RIGHT(F1381,3)&lt;&gt;"IKS"),IFERROR(VLOOKUP($G1381,Tb_KostenTypen[],2,0),"tarief"),RIGHT(F1381,3)="IKS","Uurtarief",LEFT(F1381,6)="Arbeid","Uurtarief",AND(LEFT(F1381,8)="Bijdrage",RIGHT(F1381,15)="(vrijwilligers)"),"Vast tarief"),"")</f>
        <v/>
      </c>
      <c r="O1381" s="90"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0"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1"/>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59"/>
      <c r="Z1381" s="49"/>
      <c r="AA1381" s="37" t="str" cm="1">
        <f t="array" ref="AA1381">IFERROR(IF(INDEX(SubsidieTabel!$Q$1:$T$9,MATCH($F1381,SubsidieTabel!$Q$1:$Q$9,0),IFERROR(MATCH(Methode_Keuze,SubsidieTabel!$Q$1:$T$1,0),2))&lt;&gt;1=TRUE,"ja",""),"")</f>
        <v/>
      </c>
    </row>
    <row r="1382" spans="1:27" ht="15" customHeight="1" x14ac:dyDescent="0.25">
      <c r="A1382" s="85"/>
      <c r="B1382" s="217" t="str">
        <f>IF(A1382&lt;&gt;"",_xlfn.MAXIFS($B$1:B1381,$A$1:A1381,A1382)+1,"")</f>
        <v/>
      </c>
      <c r="C1382" s="50"/>
      <c r="D1382" s="50"/>
      <c r="E1382" s="50"/>
      <c r="F1382" s="50"/>
      <c r="G1382" s="280"/>
      <c r="H1382" s="293"/>
      <c r="I1382" s="292"/>
      <c r="J1382" s="292"/>
      <c r="K1382" s="200"/>
      <c r="L1382" s="200"/>
      <c r="M1382" s="89" t="str">
        <f>IFERROR(VLOOKUP(H1382,Lijsten!$H$1:$I$100,2,0),"")</f>
        <v/>
      </c>
      <c r="N1382" s="89" t="str" cm="1">
        <f t="array" ref="N1382">IFERROR(_xlfn.IFS(AND(LEFT(F1382,6)="Arbeid",RIGHT(F1382,3)&lt;&gt;"IKS"),IFERROR(VLOOKUP($G1382,Tb_KostenTypen[],2,0),"tarief"),RIGHT(F1382,3)="IKS","Uurtarief",LEFT(F1382,6)="Arbeid","Uurtarief",AND(LEFT(F1382,8)="Bijdrage",RIGHT(F1382,15)="(vrijwilligers)"),"Vast tarief"),"")</f>
        <v/>
      </c>
      <c r="O1382" s="90"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0"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1"/>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59"/>
      <c r="Z1382" s="49"/>
      <c r="AA1382" s="37" t="str" cm="1">
        <f t="array" ref="AA1382">IFERROR(IF(INDEX(SubsidieTabel!$Q$1:$T$9,MATCH($F1382,SubsidieTabel!$Q$1:$Q$9,0),IFERROR(MATCH(Methode_Keuze,SubsidieTabel!$Q$1:$T$1,0),2))&lt;&gt;1=TRUE,"ja",""),"")</f>
        <v/>
      </c>
    </row>
    <row r="1383" spans="1:27" ht="15" customHeight="1" x14ac:dyDescent="0.25">
      <c r="A1383" s="85"/>
      <c r="B1383" s="217" t="str">
        <f>IF(A1383&lt;&gt;"",_xlfn.MAXIFS($B$1:B1382,$A$1:A1382,A1383)+1,"")</f>
        <v/>
      </c>
      <c r="C1383" s="50"/>
      <c r="D1383" s="50"/>
      <c r="E1383" s="50"/>
      <c r="F1383" s="50"/>
      <c r="G1383" s="280"/>
      <c r="H1383" s="293"/>
      <c r="I1383" s="292"/>
      <c r="J1383" s="292"/>
      <c r="K1383" s="200"/>
      <c r="L1383" s="200"/>
      <c r="M1383" s="89" t="str">
        <f>IFERROR(VLOOKUP(H1383,Lijsten!$H$1:$I$100,2,0),"")</f>
        <v/>
      </c>
      <c r="N1383" s="89" t="str" cm="1">
        <f t="array" ref="N1383">IFERROR(_xlfn.IFS(AND(LEFT(F1383,6)="Arbeid",RIGHT(F1383,3)&lt;&gt;"IKS"),IFERROR(VLOOKUP($G1383,Tb_KostenTypen[],2,0),"tarief"),RIGHT(F1383,3)="IKS","Uurtarief",LEFT(F1383,6)="Arbeid","Uurtarief",AND(LEFT(F1383,8)="Bijdrage",RIGHT(F1383,15)="(vrijwilligers)"),"Vast tarief"),"")</f>
        <v/>
      </c>
      <c r="O1383" s="90"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0"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1"/>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59"/>
      <c r="Z1383" s="49"/>
      <c r="AA1383" s="37" t="str" cm="1">
        <f t="array" ref="AA1383">IFERROR(IF(INDEX(SubsidieTabel!$Q$1:$T$9,MATCH($F1383,SubsidieTabel!$Q$1:$Q$9,0),IFERROR(MATCH(Methode_Keuze,SubsidieTabel!$Q$1:$T$1,0),2))&lt;&gt;1=TRUE,"ja",""),"")</f>
        <v/>
      </c>
    </row>
    <row r="1384" spans="1:27" ht="15" customHeight="1" x14ac:dyDescent="0.25">
      <c r="A1384" s="85"/>
      <c r="B1384" s="217" t="str">
        <f>IF(A1384&lt;&gt;"",_xlfn.MAXIFS($B$1:B1383,$A$1:A1383,A1384)+1,"")</f>
        <v/>
      </c>
      <c r="C1384" s="50"/>
      <c r="D1384" s="50"/>
      <c r="E1384" s="50"/>
      <c r="F1384" s="50"/>
      <c r="G1384" s="280"/>
      <c r="H1384" s="293"/>
      <c r="I1384" s="292"/>
      <c r="J1384" s="292"/>
      <c r="K1384" s="200"/>
      <c r="L1384" s="200"/>
      <c r="M1384" s="89" t="str">
        <f>IFERROR(VLOOKUP(H1384,Lijsten!$H$1:$I$100,2,0),"")</f>
        <v/>
      </c>
      <c r="N1384" s="89" t="str" cm="1">
        <f t="array" ref="N1384">IFERROR(_xlfn.IFS(AND(LEFT(F1384,6)="Arbeid",RIGHT(F1384,3)&lt;&gt;"IKS"),IFERROR(VLOOKUP($G1384,Tb_KostenTypen[],2,0),"tarief"),RIGHT(F1384,3)="IKS","Uurtarief",LEFT(F1384,6)="Arbeid","Uurtarief",AND(LEFT(F1384,8)="Bijdrage",RIGHT(F1384,15)="(vrijwilligers)"),"Vast tarief"),"")</f>
        <v/>
      </c>
      <c r="O1384" s="90"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0"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1"/>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59"/>
      <c r="Z1384" s="49"/>
      <c r="AA1384" s="37" t="str" cm="1">
        <f t="array" ref="AA1384">IFERROR(IF(INDEX(SubsidieTabel!$Q$1:$T$9,MATCH($F1384,SubsidieTabel!$Q$1:$Q$9,0),IFERROR(MATCH(Methode_Keuze,SubsidieTabel!$Q$1:$T$1,0),2))&lt;&gt;1=TRUE,"ja",""),"")</f>
        <v/>
      </c>
    </row>
    <row r="1385" spans="1:27" ht="15" customHeight="1" x14ac:dyDescent="0.25">
      <c r="A1385" s="85"/>
      <c r="B1385" s="217" t="str">
        <f>IF(A1385&lt;&gt;"",_xlfn.MAXIFS($B$1:B1384,$A$1:A1384,A1385)+1,"")</f>
        <v/>
      </c>
      <c r="C1385" s="50"/>
      <c r="D1385" s="50"/>
      <c r="E1385" s="50"/>
      <c r="F1385" s="50"/>
      <c r="G1385" s="280"/>
      <c r="H1385" s="293"/>
      <c r="I1385" s="292"/>
      <c r="J1385" s="292"/>
      <c r="K1385" s="200"/>
      <c r="L1385" s="200"/>
      <c r="M1385" s="89" t="str">
        <f>IFERROR(VLOOKUP(H1385,Lijsten!$H$1:$I$100,2,0),"")</f>
        <v/>
      </c>
      <c r="N1385" s="89" t="str" cm="1">
        <f t="array" ref="N1385">IFERROR(_xlfn.IFS(AND(LEFT(F1385,6)="Arbeid",RIGHT(F1385,3)&lt;&gt;"IKS"),IFERROR(VLOOKUP($G1385,Tb_KostenTypen[],2,0),"tarief"),RIGHT(F1385,3)="IKS","Uurtarief",LEFT(F1385,6)="Arbeid","Uurtarief",AND(LEFT(F1385,8)="Bijdrage",RIGHT(F1385,15)="(vrijwilligers)"),"Vast tarief"),"")</f>
        <v/>
      </c>
      <c r="O1385" s="90"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0"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1"/>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59"/>
      <c r="Z1385" s="49"/>
      <c r="AA1385" s="37" t="str" cm="1">
        <f t="array" ref="AA1385">IFERROR(IF(INDEX(SubsidieTabel!$Q$1:$T$9,MATCH($F1385,SubsidieTabel!$Q$1:$Q$9,0),IFERROR(MATCH(Methode_Keuze,SubsidieTabel!$Q$1:$T$1,0),2))&lt;&gt;1=TRUE,"ja",""),"")</f>
        <v/>
      </c>
    </row>
    <row r="1386" spans="1:27" ht="15" customHeight="1" x14ac:dyDescent="0.25">
      <c r="A1386" s="85"/>
      <c r="B1386" s="217" t="str">
        <f>IF(A1386&lt;&gt;"",_xlfn.MAXIFS($B$1:B1385,$A$1:A1385,A1386)+1,"")</f>
        <v/>
      </c>
      <c r="C1386" s="50"/>
      <c r="D1386" s="50"/>
      <c r="E1386" s="50"/>
      <c r="F1386" s="50"/>
      <c r="G1386" s="280"/>
      <c r="H1386" s="293"/>
      <c r="I1386" s="292"/>
      <c r="J1386" s="292"/>
      <c r="K1386" s="200"/>
      <c r="L1386" s="200"/>
      <c r="M1386" s="89" t="str">
        <f>IFERROR(VLOOKUP(H1386,Lijsten!$H$1:$I$100,2,0),"")</f>
        <v/>
      </c>
      <c r="N1386" s="89" t="str" cm="1">
        <f t="array" ref="N1386">IFERROR(_xlfn.IFS(AND(LEFT(F1386,6)="Arbeid",RIGHT(F1386,3)&lt;&gt;"IKS"),IFERROR(VLOOKUP($G1386,Tb_KostenTypen[],2,0),"tarief"),RIGHT(F1386,3)="IKS","Uurtarief",LEFT(F1386,6)="Arbeid","Uurtarief",AND(LEFT(F1386,8)="Bijdrage",RIGHT(F1386,15)="(vrijwilligers)"),"Vast tarief"),"")</f>
        <v/>
      </c>
      <c r="O1386" s="90"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0"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1"/>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59"/>
      <c r="Z1386" s="49"/>
      <c r="AA1386" s="37" t="str" cm="1">
        <f t="array" ref="AA1386">IFERROR(IF(INDEX(SubsidieTabel!$Q$1:$T$9,MATCH($F1386,SubsidieTabel!$Q$1:$Q$9,0),IFERROR(MATCH(Methode_Keuze,SubsidieTabel!$Q$1:$T$1,0),2))&lt;&gt;1=TRUE,"ja",""),"")</f>
        <v/>
      </c>
    </row>
    <row r="1387" spans="1:27" ht="15" customHeight="1" x14ac:dyDescent="0.25">
      <c r="A1387" s="85"/>
      <c r="B1387" s="217" t="str">
        <f>IF(A1387&lt;&gt;"",_xlfn.MAXIFS($B$1:B1386,$A$1:A1386,A1387)+1,"")</f>
        <v/>
      </c>
      <c r="C1387" s="50"/>
      <c r="D1387" s="50"/>
      <c r="E1387" s="50"/>
      <c r="F1387" s="50"/>
      <c r="G1387" s="280"/>
      <c r="H1387" s="293"/>
      <c r="I1387" s="292"/>
      <c r="J1387" s="292"/>
      <c r="K1387" s="200"/>
      <c r="L1387" s="200"/>
      <c r="M1387" s="89" t="str">
        <f>IFERROR(VLOOKUP(H1387,Lijsten!$H$1:$I$100,2,0),"")</f>
        <v/>
      </c>
      <c r="N1387" s="89" t="str" cm="1">
        <f t="array" ref="N1387">IFERROR(_xlfn.IFS(AND(LEFT(F1387,6)="Arbeid",RIGHT(F1387,3)&lt;&gt;"IKS"),IFERROR(VLOOKUP($G1387,Tb_KostenTypen[],2,0),"tarief"),RIGHT(F1387,3)="IKS","Uurtarief",LEFT(F1387,6)="Arbeid","Uurtarief",AND(LEFT(F1387,8)="Bijdrage",RIGHT(F1387,15)="(vrijwilligers)"),"Vast tarief"),"")</f>
        <v/>
      </c>
      <c r="O1387" s="90"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0"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1"/>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59"/>
      <c r="Z1387" s="49"/>
      <c r="AA1387" s="37" t="str" cm="1">
        <f t="array" ref="AA1387">IFERROR(IF(INDEX(SubsidieTabel!$Q$1:$T$9,MATCH($F1387,SubsidieTabel!$Q$1:$Q$9,0),IFERROR(MATCH(Methode_Keuze,SubsidieTabel!$Q$1:$T$1,0),2))&lt;&gt;1=TRUE,"ja",""),"")</f>
        <v/>
      </c>
    </row>
    <row r="1388" spans="1:27" ht="15" customHeight="1" x14ac:dyDescent="0.25">
      <c r="A1388" s="85"/>
      <c r="B1388" s="217" t="str">
        <f>IF(A1388&lt;&gt;"",_xlfn.MAXIFS($B$1:B1387,$A$1:A1387,A1388)+1,"")</f>
        <v/>
      </c>
      <c r="C1388" s="50"/>
      <c r="D1388" s="50"/>
      <c r="E1388" s="50"/>
      <c r="F1388" s="50"/>
      <c r="G1388" s="280"/>
      <c r="H1388" s="293"/>
      <c r="I1388" s="292"/>
      <c r="J1388" s="292"/>
      <c r="K1388" s="200"/>
      <c r="L1388" s="200"/>
      <c r="M1388" s="89" t="str">
        <f>IFERROR(VLOOKUP(H1388,Lijsten!$H$1:$I$100,2,0),"")</f>
        <v/>
      </c>
      <c r="N1388" s="89" t="str" cm="1">
        <f t="array" ref="N1388">IFERROR(_xlfn.IFS(AND(LEFT(F1388,6)="Arbeid",RIGHT(F1388,3)&lt;&gt;"IKS"),IFERROR(VLOOKUP($G1388,Tb_KostenTypen[],2,0),"tarief"),RIGHT(F1388,3)="IKS","Uurtarief",LEFT(F1388,6)="Arbeid","Uurtarief",AND(LEFT(F1388,8)="Bijdrage",RIGHT(F1388,15)="(vrijwilligers)"),"Vast tarief"),"")</f>
        <v/>
      </c>
      <c r="O1388" s="90"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0"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1"/>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59"/>
      <c r="Z1388" s="49"/>
      <c r="AA1388" s="37" t="str" cm="1">
        <f t="array" ref="AA1388">IFERROR(IF(INDEX(SubsidieTabel!$Q$1:$T$9,MATCH($F1388,SubsidieTabel!$Q$1:$Q$9,0),IFERROR(MATCH(Methode_Keuze,SubsidieTabel!$Q$1:$T$1,0),2))&lt;&gt;1=TRUE,"ja",""),"")</f>
        <v/>
      </c>
    </row>
    <row r="1389" spans="1:27" ht="15" customHeight="1" x14ac:dyDescent="0.25">
      <c r="A1389" s="85"/>
      <c r="B1389" s="217" t="str">
        <f>IF(A1389&lt;&gt;"",_xlfn.MAXIFS($B$1:B1388,$A$1:A1388,A1389)+1,"")</f>
        <v/>
      </c>
      <c r="C1389" s="50"/>
      <c r="D1389" s="50"/>
      <c r="E1389" s="50"/>
      <c r="F1389" s="50"/>
      <c r="G1389" s="280"/>
      <c r="H1389" s="293"/>
      <c r="I1389" s="292"/>
      <c r="J1389" s="292"/>
      <c r="K1389" s="200"/>
      <c r="L1389" s="200"/>
      <c r="M1389" s="89" t="str">
        <f>IFERROR(VLOOKUP(H1389,Lijsten!$H$1:$I$100,2,0),"")</f>
        <v/>
      </c>
      <c r="N1389" s="89" t="str" cm="1">
        <f t="array" ref="N1389">IFERROR(_xlfn.IFS(AND(LEFT(F1389,6)="Arbeid",RIGHT(F1389,3)&lt;&gt;"IKS"),IFERROR(VLOOKUP($G1389,Tb_KostenTypen[],2,0),"tarief"),RIGHT(F1389,3)="IKS","Uurtarief",LEFT(F1389,6)="Arbeid","Uurtarief",AND(LEFT(F1389,8)="Bijdrage",RIGHT(F1389,15)="(vrijwilligers)"),"Vast tarief"),"")</f>
        <v/>
      </c>
      <c r="O1389" s="90"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0"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1"/>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59"/>
      <c r="Z1389" s="49"/>
      <c r="AA1389" s="37" t="str" cm="1">
        <f t="array" ref="AA1389">IFERROR(IF(INDEX(SubsidieTabel!$Q$1:$T$9,MATCH($F1389,SubsidieTabel!$Q$1:$Q$9,0),IFERROR(MATCH(Methode_Keuze,SubsidieTabel!$Q$1:$T$1,0),2))&lt;&gt;1=TRUE,"ja",""),"")</f>
        <v/>
      </c>
    </row>
    <row r="1390" spans="1:27" ht="15" customHeight="1" x14ac:dyDescent="0.25">
      <c r="A1390" s="85"/>
      <c r="B1390" s="217" t="str">
        <f>IF(A1390&lt;&gt;"",_xlfn.MAXIFS($B$1:B1389,$A$1:A1389,A1390)+1,"")</f>
        <v/>
      </c>
      <c r="C1390" s="50"/>
      <c r="D1390" s="50"/>
      <c r="E1390" s="50"/>
      <c r="F1390" s="50"/>
      <c r="G1390" s="280"/>
      <c r="H1390" s="293"/>
      <c r="I1390" s="292"/>
      <c r="J1390" s="292"/>
      <c r="K1390" s="200"/>
      <c r="L1390" s="200"/>
      <c r="M1390" s="89" t="str">
        <f>IFERROR(VLOOKUP(H1390,Lijsten!$H$1:$I$100,2,0),"")</f>
        <v/>
      </c>
      <c r="N1390" s="89" t="str" cm="1">
        <f t="array" ref="N1390">IFERROR(_xlfn.IFS(AND(LEFT(F1390,6)="Arbeid",RIGHT(F1390,3)&lt;&gt;"IKS"),IFERROR(VLOOKUP($G1390,Tb_KostenTypen[],2,0),"tarief"),RIGHT(F1390,3)="IKS","Uurtarief",LEFT(F1390,6)="Arbeid","Uurtarief",AND(LEFT(F1390,8)="Bijdrage",RIGHT(F1390,15)="(vrijwilligers)"),"Vast tarief"),"")</f>
        <v/>
      </c>
      <c r="O1390" s="90"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0"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1"/>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59"/>
      <c r="Z1390" s="49"/>
      <c r="AA1390" s="37" t="str" cm="1">
        <f t="array" ref="AA1390">IFERROR(IF(INDEX(SubsidieTabel!$Q$1:$T$9,MATCH($F1390,SubsidieTabel!$Q$1:$Q$9,0),IFERROR(MATCH(Methode_Keuze,SubsidieTabel!$Q$1:$T$1,0),2))&lt;&gt;1=TRUE,"ja",""),"")</f>
        <v/>
      </c>
    </row>
    <row r="1391" spans="1:27" ht="15" customHeight="1" x14ac:dyDescent="0.25">
      <c r="A1391" s="85"/>
      <c r="B1391" s="217" t="str">
        <f>IF(A1391&lt;&gt;"",_xlfn.MAXIFS($B$1:B1390,$A$1:A1390,A1391)+1,"")</f>
        <v/>
      </c>
      <c r="C1391" s="50"/>
      <c r="D1391" s="50"/>
      <c r="E1391" s="50"/>
      <c r="F1391" s="50"/>
      <c r="G1391" s="280"/>
      <c r="H1391" s="293"/>
      <c r="I1391" s="292"/>
      <c r="J1391" s="292"/>
      <c r="K1391" s="200"/>
      <c r="L1391" s="200"/>
      <c r="M1391" s="89" t="str">
        <f>IFERROR(VLOOKUP(H1391,Lijsten!$H$1:$I$100,2,0),"")</f>
        <v/>
      </c>
      <c r="N1391" s="89" t="str" cm="1">
        <f t="array" ref="N1391">IFERROR(_xlfn.IFS(AND(LEFT(F1391,6)="Arbeid",RIGHT(F1391,3)&lt;&gt;"IKS"),IFERROR(VLOOKUP($G1391,Tb_KostenTypen[],2,0),"tarief"),RIGHT(F1391,3)="IKS","Uurtarief",LEFT(F1391,6)="Arbeid","Uurtarief",AND(LEFT(F1391,8)="Bijdrage",RIGHT(F1391,15)="(vrijwilligers)"),"Vast tarief"),"")</f>
        <v/>
      </c>
      <c r="O1391" s="90"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0"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1"/>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59"/>
      <c r="Z1391" s="49"/>
      <c r="AA1391" s="37" t="str" cm="1">
        <f t="array" ref="AA1391">IFERROR(IF(INDEX(SubsidieTabel!$Q$1:$T$9,MATCH($F1391,SubsidieTabel!$Q$1:$Q$9,0),IFERROR(MATCH(Methode_Keuze,SubsidieTabel!$Q$1:$T$1,0),2))&lt;&gt;1=TRUE,"ja",""),"")</f>
        <v/>
      </c>
    </row>
    <row r="1392" spans="1:27" ht="15" customHeight="1" x14ac:dyDescent="0.25">
      <c r="A1392" s="85"/>
      <c r="B1392" s="217" t="str">
        <f>IF(A1392&lt;&gt;"",_xlfn.MAXIFS($B$1:B1391,$A$1:A1391,A1392)+1,"")</f>
        <v/>
      </c>
      <c r="C1392" s="50"/>
      <c r="D1392" s="50"/>
      <c r="E1392" s="50"/>
      <c r="F1392" s="50"/>
      <c r="G1392" s="280"/>
      <c r="H1392" s="293"/>
      <c r="I1392" s="292"/>
      <c r="J1392" s="292"/>
      <c r="K1392" s="200"/>
      <c r="L1392" s="200"/>
      <c r="M1392" s="89" t="str">
        <f>IFERROR(VLOOKUP(H1392,Lijsten!$H$1:$I$100,2,0),"")</f>
        <v/>
      </c>
      <c r="N1392" s="89" t="str" cm="1">
        <f t="array" ref="N1392">IFERROR(_xlfn.IFS(AND(LEFT(F1392,6)="Arbeid",RIGHT(F1392,3)&lt;&gt;"IKS"),IFERROR(VLOOKUP($G1392,Tb_KostenTypen[],2,0),"tarief"),RIGHT(F1392,3)="IKS","Uurtarief",LEFT(F1392,6)="Arbeid","Uurtarief",AND(LEFT(F1392,8)="Bijdrage",RIGHT(F1392,15)="(vrijwilligers)"),"Vast tarief"),"")</f>
        <v/>
      </c>
      <c r="O1392" s="90"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0"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1"/>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59"/>
      <c r="Z1392" s="49"/>
      <c r="AA1392" s="37" t="str" cm="1">
        <f t="array" ref="AA1392">IFERROR(IF(INDEX(SubsidieTabel!$Q$1:$T$9,MATCH($F1392,SubsidieTabel!$Q$1:$Q$9,0),IFERROR(MATCH(Methode_Keuze,SubsidieTabel!$Q$1:$T$1,0),2))&lt;&gt;1=TRUE,"ja",""),"")</f>
        <v/>
      </c>
    </row>
    <row r="1393" spans="1:27" ht="15" customHeight="1" x14ac:dyDescent="0.25">
      <c r="A1393" s="85"/>
      <c r="B1393" s="217" t="str">
        <f>IF(A1393&lt;&gt;"",_xlfn.MAXIFS($B$1:B1392,$A$1:A1392,A1393)+1,"")</f>
        <v/>
      </c>
      <c r="C1393" s="50"/>
      <c r="D1393" s="50"/>
      <c r="E1393" s="50"/>
      <c r="F1393" s="50"/>
      <c r="G1393" s="280"/>
      <c r="H1393" s="293"/>
      <c r="I1393" s="292"/>
      <c r="J1393" s="292"/>
      <c r="K1393" s="200"/>
      <c r="L1393" s="200"/>
      <c r="M1393" s="89" t="str">
        <f>IFERROR(VLOOKUP(H1393,Lijsten!$H$1:$I$100,2,0),"")</f>
        <v/>
      </c>
      <c r="N1393" s="89" t="str" cm="1">
        <f t="array" ref="N1393">IFERROR(_xlfn.IFS(AND(LEFT(F1393,6)="Arbeid",RIGHT(F1393,3)&lt;&gt;"IKS"),IFERROR(VLOOKUP($G1393,Tb_KostenTypen[],2,0),"tarief"),RIGHT(F1393,3)="IKS","Uurtarief",LEFT(F1393,6)="Arbeid","Uurtarief",AND(LEFT(F1393,8)="Bijdrage",RIGHT(F1393,15)="(vrijwilligers)"),"Vast tarief"),"")</f>
        <v/>
      </c>
      <c r="O1393" s="90"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0"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1"/>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59"/>
      <c r="Z1393" s="49"/>
      <c r="AA1393" s="37" t="str" cm="1">
        <f t="array" ref="AA1393">IFERROR(IF(INDEX(SubsidieTabel!$Q$1:$T$9,MATCH($F1393,SubsidieTabel!$Q$1:$Q$9,0),IFERROR(MATCH(Methode_Keuze,SubsidieTabel!$Q$1:$T$1,0),2))&lt;&gt;1=TRUE,"ja",""),"")</f>
        <v/>
      </c>
    </row>
    <row r="1394" spans="1:27" ht="15" customHeight="1" x14ac:dyDescent="0.25">
      <c r="A1394" s="85"/>
      <c r="B1394" s="217" t="str">
        <f>IF(A1394&lt;&gt;"",_xlfn.MAXIFS($B$1:B1393,$A$1:A1393,A1394)+1,"")</f>
        <v/>
      </c>
      <c r="C1394" s="50"/>
      <c r="D1394" s="50"/>
      <c r="E1394" s="50"/>
      <c r="F1394" s="50"/>
      <c r="G1394" s="280"/>
      <c r="H1394" s="293"/>
      <c r="I1394" s="292"/>
      <c r="J1394" s="292"/>
      <c r="K1394" s="200"/>
      <c r="L1394" s="200"/>
      <c r="M1394" s="89" t="str">
        <f>IFERROR(VLOOKUP(H1394,Lijsten!$H$1:$I$100,2,0),"")</f>
        <v/>
      </c>
      <c r="N1394" s="89" t="str" cm="1">
        <f t="array" ref="N1394">IFERROR(_xlfn.IFS(AND(LEFT(F1394,6)="Arbeid",RIGHT(F1394,3)&lt;&gt;"IKS"),IFERROR(VLOOKUP($G1394,Tb_KostenTypen[],2,0),"tarief"),RIGHT(F1394,3)="IKS","Uurtarief",LEFT(F1394,6)="Arbeid","Uurtarief",AND(LEFT(F1394,8)="Bijdrage",RIGHT(F1394,15)="(vrijwilligers)"),"Vast tarief"),"")</f>
        <v/>
      </c>
      <c r="O1394" s="90"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0"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1"/>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59"/>
      <c r="Z1394" s="49"/>
      <c r="AA1394" s="37" t="str" cm="1">
        <f t="array" ref="AA1394">IFERROR(IF(INDEX(SubsidieTabel!$Q$1:$T$9,MATCH($F1394,SubsidieTabel!$Q$1:$Q$9,0),IFERROR(MATCH(Methode_Keuze,SubsidieTabel!$Q$1:$T$1,0),2))&lt;&gt;1=TRUE,"ja",""),"")</f>
        <v/>
      </c>
    </row>
    <row r="1395" spans="1:27" ht="15" customHeight="1" x14ac:dyDescent="0.25">
      <c r="A1395" s="85"/>
      <c r="B1395" s="217" t="str">
        <f>IF(A1395&lt;&gt;"",_xlfn.MAXIFS($B$1:B1394,$A$1:A1394,A1395)+1,"")</f>
        <v/>
      </c>
      <c r="C1395" s="50"/>
      <c r="D1395" s="50"/>
      <c r="E1395" s="50"/>
      <c r="F1395" s="50"/>
      <c r="G1395" s="280"/>
      <c r="H1395" s="293"/>
      <c r="I1395" s="292"/>
      <c r="J1395" s="292"/>
      <c r="K1395" s="200"/>
      <c r="L1395" s="200"/>
      <c r="M1395" s="89" t="str">
        <f>IFERROR(VLOOKUP(H1395,Lijsten!$H$1:$I$100,2,0),"")</f>
        <v/>
      </c>
      <c r="N1395" s="89" t="str" cm="1">
        <f t="array" ref="N1395">IFERROR(_xlfn.IFS(AND(LEFT(F1395,6)="Arbeid",RIGHT(F1395,3)&lt;&gt;"IKS"),IFERROR(VLOOKUP($G1395,Tb_KostenTypen[],2,0),"tarief"),RIGHT(F1395,3)="IKS","Uurtarief",LEFT(F1395,6)="Arbeid","Uurtarief",AND(LEFT(F1395,8)="Bijdrage",RIGHT(F1395,15)="(vrijwilligers)"),"Vast tarief"),"")</f>
        <v/>
      </c>
      <c r="O1395" s="90"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0"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1"/>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59"/>
      <c r="Z1395" s="49"/>
      <c r="AA1395" s="37" t="str" cm="1">
        <f t="array" ref="AA1395">IFERROR(IF(INDEX(SubsidieTabel!$Q$1:$T$9,MATCH($F1395,SubsidieTabel!$Q$1:$Q$9,0),IFERROR(MATCH(Methode_Keuze,SubsidieTabel!$Q$1:$T$1,0),2))&lt;&gt;1=TRUE,"ja",""),"")</f>
        <v/>
      </c>
    </row>
    <row r="1396" spans="1:27" ht="15" customHeight="1" x14ac:dyDescent="0.25">
      <c r="A1396" s="85"/>
      <c r="B1396" s="217" t="str">
        <f>IF(A1396&lt;&gt;"",_xlfn.MAXIFS($B$1:B1395,$A$1:A1395,A1396)+1,"")</f>
        <v/>
      </c>
      <c r="C1396" s="50"/>
      <c r="D1396" s="50"/>
      <c r="E1396" s="50"/>
      <c r="F1396" s="50"/>
      <c r="G1396" s="280"/>
      <c r="H1396" s="293"/>
      <c r="I1396" s="292"/>
      <c r="J1396" s="292"/>
      <c r="K1396" s="200"/>
      <c r="L1396" s="200"/>
      <c r="M1396" s="89" t="str">
        <f>IFERROR(VLOOKUP(H1396,Lijsten!$H$1:$I$100,2,0),"")</f>
        <v/>
      </c>
      <c r="N1396" s="89" t="str" cm="1">
        <f t="array" ref="N1396">IFERROR(_xlfn.IFS(AND(LEFT(F1396,6)="Arbeid",RIGHT(F1396,3)&lt;&gt;"IKS"),IFERROR(VLOOKUP($G1396,Tb_KostenTypen[],2,0),"tarief"),RIGHT(F1396,3)="IKS","Uurtarief",LEFT(F1396,6)="Arbeid","Uurtarief",AND(LEFT(F1396,8)="Bijdrage",RIGHT(F1396,15)="(vrijwilligers)"),"Vast tarief"),"")</f>
        <v/>
      </c>
      <c r="O1396" s="90"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0"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1"/>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59"/>
      <c r="Z1396" s="49"/>
      <c r="AA1396" s="37" t="str" cm="1">
        <f t="array" ref="AA1396">IFERROR(IF(INDEX(SubsidieTabel!$Q$1:$T$9,MATCH($F1396,SubsidieTabel!$Q$1:$Q$9,0),IFERROR(MATCH(Methode_Keuze,SubsidieTabel!$Q$1:$T$1,0),2))&lt;&gt;1=TRUE,"ja",""),"")</f>
        <v/>
      </c>
    </row>
    <row r="1397" spans="1:27" ht="15" customHeight="1" x14ac:dyDescent="0.25">
      <c r="A1397" s="85"/>
      <c r="B1397" s="217" t="str">
        <f>IF(A1397&lt;&gt;"",_xlfn.MAXIFS($B$1:B1396,$A$1:A1396,A1397)+1,"")</f>
        <v/>
      </c>
      <c r="C1397" s="50"/>
      <c r="D1397" s="50"/>
      <c r="E1397" s="50"/>
      <c r="F1397" s="50"/>
      <c r="G1397" s="280"/>
      <c r="H1397" s="293"/>
      <c r="I1397" s="292"/>
      <c r="J1397" s="292"/>
      <c r="K1397" s="200"/>
      <c r="L1397" s="200"/>
      <c r="M1397" s="89" t="str">
        <f>IFERROR(VLOOKUP(H1397,Lijsten!$H$1:$I$100,2,0),"")</f>
        <v/>
      </c>
      <c r="N1397" s="89" t="str" cm="1">
        <f t="array" ref="N1397">IFERROR(_xlfn.IFS(AND(LEFT(F1397,6)="Arbeid",RIGHT(F1397,3)&lt;&gt;"IKS"),IFERROR(VLOOKUP($G1397,Tb_KostenTypen[],2,0),"tarief"),RIGHT(F1397,3)="IKS","Uurtarief",LEFT(F1397,6)="Arbeid","Uurtarief",AND(LEFT(F1397,8)="Bijdrage",RIGHT(F1397,15)="(vrijwilligers)"),"Vast tarief"),"")</f>
        <v/>
      </c>
      <c r="O1397" s="90"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0"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1"/>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59"/>
      <c r="Z1397" s="49"/>
      <c r="AA1397" s="37" t="str" cm="1">
        <f t="array" ref="AA1397">IFERROR(IF(INDEX(SubsidieTabel!$Q$1:$T$9,MATCH($F1397,SubsidieTabel!$Q$1:$Q$9,0),IFERROR(MATCH(Methode_Keuze,SubsidieTabel!$Q$1:$T$1,0),2))&lt;&gt;1=TRUE,"ja",""),"")</f>
        <v/>
      </c>
    </row>
    <row r="1398" spans="1:27" ht="15" customHeight="1" x14ac:dyDescent="0.25">
      <c r="A1398" s="85"/>
      <c r="B1398" s="217" t="str">
        <f>IF(A1398&lt;&gt;"",_xlfn.MAXIFS($B$1:B1397,$A$1:A1397,A1398)+1,"")</f>
        <v/>
      </c>
      <c r="C1398" s="50"/>
      <c r="D1398" s="50"/>
      <c r="E1398" s="50"/>
      <c r="F1398" s="50"/>
      <c r="G1398" s="280"/>
      <c r="H1398" s="293"/>
      <c r="I1398" s="292"/>
      <c r="J1398" s="292"/>
      <c r="K1398" s="200"/>
      <c r="L1398" s="200"/>
      <c r="M1398" s="89" t="str">
        <f>IFERROR(VLOOKUP(H1398,Lijsten!$H$1:$I$100,2,0),"")</f>
        <v/>
      </c>
      <c r="N1398" s="89" t="str" cm="1">
        <f t="array" ref="N1398">IFERROR(_xlfn.IFS(AND(LEFT(F1398,6)="Arbeid",RIGHT(F1398,3)&lt;&gt;"IKS"),IFERROR(VLOOKUP($G1398,Tb_KostenTypen[],2,0),"tarief"),RIGHT(F1398,3)="IKS","Uurtarief",LEFT(F1398,6)="Arbeid","Uurtarief",AND(LEFT(F1398,8)="Bijdrage",RIGHT(F1398,15)="(vrijwilligers)"),"Vast tarief"),"")</f>
        <v/>
      </c>
      <c r="O1398" s="90"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0"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1"/>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59"/>
      <c r="Z1398" s="49"/>
      <c r="AA1398" s="37" t="str" cm="1">
        <f t="array" ref="AA1398">IFERROR(IF(INDEX(SubsidieTabel!$Q$1:$T$9,MATCH($F1398,SubsidieTabel!$Q$1:$Q$9,0),IFERROR(MATCH(Methode_Keuze,SubsidieTabel!$Q$1:$T$1,0),2))&lt;&gt;1=TRUE,"ja",""),"")</f>
        <v/>
      </c>
    </row>
    <row r="1399" spans="1:27" ht="15" customHeight="1" x14ac:dyDescent="0.25">
      <c r="A1399" s="85"/>
      <c r="B1399" s="217" t="str">
        <f>IF(A1399&lt;&gt;"",_xlfn.MAXIFS($B$1:B1398,$A$1:A1398,A1399)+1,"")</f>
        <v/>
      </c>
      <c r="C1399" s="50"/>
      <c r="D1399" s="50"/>
      <c r="E1399" s="50"/>
      <c r="F1399" s="50"/>
      <c r="G1399" s="280"/>
      <c r="H1399" s="293"/>
      <c r="I1399" s="292"/>
      <c r="J1399" s="292"/>
      <c r="K1399" s="200"/>
      <c r="L1399" s="200"/>
      <c r="M1399" s="89" t="str">
        <f>IFERROR(VLOOKUP(H1399,Lijsten!$H$1:$I$100,2,0),"")</f>
        <v/>
      </c>
      <c r="N1399" s="89" t="str" cm="1">
        <f t="array" ref="N1399">IFERROR(_xlfn.IFS(AND(LEFT(F1399,6)="Arbeid",RIGHT(F1399,3)&lt;&gt;"IKS"),IFERROR(VLOOKUP($G1399,Tb_KostenTypen[],2,0),"tarief"),RIGHT(F1399,3)="IKS","Uurtarief",LEFT(F1399,6)="Arbeid","Uurtarief",AND(LEFT(F1399,8)="Bijdrage",RIGHT(F1399,15)="(vrijwilligers)"),"Vast tarief"),"")</f>
        <v/>
      </c>
      <c r="O1399" s="90"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0"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1"/>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59"/>
      <c r="Z1399" s="49"/>
      <c r="AA1399" s="37" t="str" cm="1">
        <f t="array" ref="AA1399">IFERROR(IF(INDEX(SubsidieTabel!$Q$1:$T$9,MATCH($F1399,SubsidieTabel!$Q$1:$Q$9,0),IFERROR(MATCH(Methode_Keuze,SubsidieTabel!$Q$1:$T$1,0),2))&lt;&gt;1=TRUE,"ja",""),"")</f>
        <v/>
      </c>
    </row>
    <row r="1400" spans="1:27" ht="15" customHeight="1" x14ac:dyDescent="0.25">
      <c r="A1400" s="85"/>
      <c r="B1400" s="217" t="str">
        <f>IF(A1400&lt;&gt;"",_xlfn.MAXIFS($B$1:B1399,$A$1:A1399,A1400)+1,"")</f>
        <v/>
      </c>
      <c r="C1400" s="50"/>
      <c r="D1400" s="50"/>
      <c r="E1400" s="50"/>
      <c r="F1400" s="50"/>
      <c r="G1400" s="280"/>
      <c r="H1400" s="293"/>
      <c r="I1400" s="292"/>
      <c r="J1400" s="292"/>
      <c r="K1400" s="200"/>
      <c r="L1400" s="200"/>
      <c r="M1400" s="89" t="str">
        <f>IFERROR(VLOOKUP(H1400,Lijsten!$H$1:$I$100,2,0),"")</f>
        <v/>
      </c>
      <c r="N1400" s="89" t="str" cm="1">
        <f t="array" ref="N1400">IFERROR(_xlfn.IFS(AND(LEFT(F1400,6)="Arbeid",RIGHT(F1400,3)&lt;&gt;"IKS"),IFERROR(VLOOKUP($G1400,Tb_KostenTypen[],2,0),"tarief"),RIGHT(F1400,3)="IKS","Uurtarief",LEFT(F1400,6)="Arbeid","Uurtarief",AND(LEFT(F1400,8)="Bijdrage",RIGHT(F1400,15)="(vrijwilligers)"),"Vast tarief"),"")</f>
        <v/>
      </c>
      <c r="O1400" s="90"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0"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1"/>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59"/>
      <c r="Z1400" s="49"/>
      <c r="AA1400" s="37" t="str" cm="1">
        <f t="array" ref="AA1400">IFERROR(IF(INDEX(SubsidieTabel!$Q$1:$T$9,MATCH($F1400,SubsidieTabel!$Q$1:$Q$9,0),IFERROR(MATCH(Methode_Keuze,SubsidieTabel!$Q$1:$T$1,0),2))&lt;&gt;1=TRUE,"ja",""),"")</f>
        <v/>
      </c>
    </row>
    <row r="1401" spans="1:27" ht="15" customHeight="1" x14ac:dyDescent="0.25">
      <c r="A1401" s="85"/>
      <c r="B1401" s="217" t="str">
        <f>IF(A1401&lt;&gt;"",_xlfn.MAXIFS($B$1:B1400,$A$1:A1400,A1401)+1,"")</f>
        <v/>
      </c>
      <c r="C1401" s="50"/>
      <c r="D1401" s="50"/>
      <c r="E1401" s="50"/>
      <c r="F1401" s="50"/>
      <c r="G1401" s="280"/>
      <c r="H1401" s="293"/>
      <c r="I1401" s="292"/>
      <c r="J1401" s="292"/>
      <c r="K1401" s="200"/>
      <c r="L1401" s="200"/>
      <c r="M1401" s="89" t="str">
        <f>IFERROR(VLOOKUP(H1401,Lijsten!$H$1:$I$100,2,0),"")</f>
        <v/>
      </c>
      <c r="N1401" s="89" t="str" cm="1">
        <f t="array" ref="N1401">IFERROR(_xlfn.IFS(AND(LEFT(F1401,6)="Arbeid",RIGHT(F1401,3)&lt;&gt;"IKS"),IFERROR(VLOOKUP($G1401,Tb_KostenTypen[],2,0),"tarief"),RIGHT(F1401,3)="IKS","Uurtarief",LEFT(F1401,6)="Arbeid","Uurtarief",AND(LEFT(F1401,8)="Bijdrage",RIGHT(F1401,15)="(vrijwilligers)"),"Vast tarief"),"")</f>
        <v/>
      </c>
      <c r="O1401" s="90"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0"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1"/>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59"/>
      <c r="Z1401" s="49"/>
      <c r="AA1401" s="37" t="str" cm="1">
        <f t="array" ref="AA1401">IFERROR(IF(INDEX(SubsidieTabel!$Q$1:$T$9,MATCH($F1401,SubsidieTabel!$Q$1:$Q$9,0),IFERROR(MATCH(Methode_Keuze,SubsidieTabel!$Q$1:$T$1,0),2))&lt;&gt;1=TRUE,"ja",""),"")</f>
        <v/>
      </c>
    </row>
    <row r="1402" spans="1:27" ht="15" customHeight="1" x14ac:dyDescent="0.25">
      <c r="A1402" s="85"/>
      <c r="B1402" s="217" t="str">
        <f>IF(A1402&lt;&gt;"",_xlfn.MAXIFS($B$1:B1401,$A$1:A1401,A1402)+1,"")</f>
        <v/>
      </c>
      <c r="C1402" s="50"/>
      <c r="D1402" s="50"/>
      <c r="E1402" s="50"/>
      <c r="F1402" s="50"/>
      <c r="G1402" s="280"/>
      <c r="H1402" s="293"/>
      <c r="I1402" s="292"/>
      <c r="J1402" s="292"/>
      <c r="K1402" s="200"/>
      <c r="L1402" s="200"/>
      <c r="M1402" s="89" t="str">
        <f>IFERROR(VLOOKUP(H1402,Lijsten!$H$1:$I$100,2,0),"")</f>
        <v/>
      </c>
      <c r="N1402" s="89" t="str" cm="1">
        <f t="array" ref="N1402">IFERROR(_xlfn.IFS(AND(LEFT(F1402,6)="Arbeid",RIGHT(F1402,3)&lt;&gt;"IKS"),IFERROR(VLOOKUP($G1402,Tb_KostenTypen[],2,0),"tarief"),RIGHT(F1402,3)="IKS","Uurtarief",LEFT(F1402,6)="Arbeid","Uurtarief",AND(LEFT(F1402,8)="Bijdrage",RIGHT(F1402,15)="(vrijwilligers)"),"Vast tarief"),"")</f>
        <v/>
      </c>
      <c r="O1402" s="90"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0"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1"/>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59"/>
      <c r="Z1402" s="49"/>
      <c r="AA1402" s="37" t="str" cm="1">
        <f t="array" ref="AA1402">IFERROR(IF(INDEX(SubsidieTabel!$Q$1:$T$9,MATCH($F1402,SubsidieTabel!$Q$1:$Q$9,0),IFERROR(MATCH(Methode_Keuze,SubsidieTabel!$Q$1:$T$1,0),2))&lt;&gt;1=TRUE,"ja",""),"")</f>
        <v/>
      </c>
    </row>
    <row r="1403" spans="1:27" ht="15" customHeight="1" x14ac:dyDescent="0.25">
      <c r="A1403" s="85"/>
      <c r="B1403" s="217" t="str">
        <f>IF(A1403&lt;&gt;"",_xlfn.MAXIFS($B$1:B1402,$A$1:A1402,A1403)+1,"")</f>
        <v/>
      </c>
      <c r="C1403" s="50"/>
      <c r="D1403" s="50"/>
      <c r="E1403" s="50"/>
      <c r="F1403" s="50"/>
      <c r="G1403" s="280"/>
      <c r="H1403" s="293"/>
      <c r="I1403" s="292"/>
      <c r="J1403" s="292"/>
      <c r="K1403" s="200"/>
      <c r="L1403" s="200"/>
      <c r="M1403" s="89" t="str">
        <f>IFERROR(VLOOKUP(H1403,Lijsten!$H$1:$I$100,2,0),"")</f>
        <v/>
      </c>
      <c r="N1403" s="89" t="str" cm="1">
        <f t="array" ref="N1403">IFERROR(_xlfn.IFS(AND(LEFT(F1403,6)="Arbeid",RIGHT(F1403,3)&lt;&gt;"IKS"),IFERROR(VLOOKUP($G1403,Tb_KostenTypen[],2,0),"tarief"),RIGHT(F1403,3)="IKS","Uurtarief",LEFT(F1403,6)="Arbeid","Uurtarief",AND(LEFT(F1403,8)="Bijdrage",RIGHT(F1403,15)="(vrijwilligers)"),"Vast tarief"),"")</f>
        <v/>
      </c>
      <c r="O1403" s="90"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0"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1"/>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59"/>
      <c r="Z1403" s="49"/>
      <c r="AA1403" s="37" t="str" cm="1">
        <f t="array" ref="AA1403">IFERROR(IF(INDEX(SubsidieTabel!$Q$1:$T$9,MATCH($F1403,SubsidieTabel!$Q$1:$Q$9,0),IFERROR(MATCH(Methode_Keuze,SubsidieTabel!$Q$1:$T$1,0),2))&lt;&gt;1=TRUE,"ja",""),"")</f>
        <v/>
      </c>
    </row>
    <row r="1404" spans="1:27" ht="15" customHeight="1" x14ac:dyDescent="0.25">
      <c r="A1404" s="85"/>
      <c r="B1404" s="217" t="str">
        <f>IF(A1404&lt;&gt;"",_xlfn.MAXIFS($B$1:B1403,$A$1:A1403,A1404)+1,"")</f>
        <v/>
      </c>
      <c r="C1404" s="50"/>
      <c r="D1404" s="50"/>
      <c r="E1404" s="50"/>
      <c r="F1404" s="50"/>
      <c r="G1404" s="280"/>
      <c r="H1404" s="293"/>
      <c r="I1404" s="292"/>
      <c r="J1404" s="292"/>
      <c r="K1404" s="200"/>
      <c r="L1404" s="200"/>
      <c r="M1404" s="89" t="str">
        <f>IFERROR(VLOOKUP(H1404,Lijsten!$H$1:$I$100,2,0),"")</f>
        <v/>
      </c>
      <c r="N1404" s="89" t="str" cm="1">
        <f t="array" ref="N1404">IFERROR(_xlfn.IFS(AND(LEFT(F1404,6)="Arbeid",RIGHT(F1404,3)&lt;&gt;"IKS"),IFERROR(VLOOKUP($G1404,Tb_KostenTypen[],2,0),"tarief"),RIGHT(F1404,3)="IKS","Uurtarief",LEFT(F1404,6)="Arbeid","Uurtarief",AND(LEFT(F1404,8)="Bijdrage",RIGHT(F1404,15)="(vrijwilligers)"),"Vast tarief"),"")</f>
        <v/>
      </c>
      <c r="O1404" s="90"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0"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1"/>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59"/>
      <c r="Z1404" s="49"/>
      <c r="AA1404" s="37" t="str" cm="1">
        <f t="array" ref="AA1404">IFERROR(IF(INDEX(SubsidieTabel!$Q$1:$T$9,MATCH($F1404,SubsidieTabel!$Q$1:$Q$9,0),IFERROR(MATCH(Methode_Keuze,SubsidieTabel!$Q$1:$T$1,0),2))&lt;&gt;1=TRUE,"ja",""),"")</f>
        <v/>
      </c>
    </row>
    <row r="1405" spans="1:27" ht="15" customHeight="1" x14ac:dyDescent="0.25">
      <c r="A1405" s="85"/>
      <c r="B1405" s="217" t="str">
        <f>IF(A1405&lt;&gt;"",_xlfn.MAXIFS($B$1:B1404,$A$1:A1404,A1405)+1,"")</f>
        <v/>
      </c>
      <c r="C1405" s="50"/>
      <c r="D1405" s="50"/>
      <c r="E1405" s="50"/>
      <c r="F1405" s="50"/>
      <c r="G1405" s="280"/>
      <c r="H1405" s="293"/>
      <c r="I1405" s="292"/>
      <c r="J1405" s="292"/>
      <c r="K1405" s="200"/>
      <c r="L1405" s="200"/>
      <c r="M1405" s="89" t="str">
        <f>IFERROR(VLOOKUP(H1405,Lijsten!$H$1:$I$100,2,0),"")</f>
        <v/>
      </c>
      <c r="N1405" s="89" t="str" cm="1">
        <f t="array" ref="N1405">IFERROR(_xlfn.IFS(AND(LEFT(F1405,6)="Arbeid",RIGHT(F1405,3)&lt;&gt;"IKS"),IFERROR(VLOOKUP($G1405,Tb_KostenTypen[],2,0),"tarief"),RIGHT(F1405,3)="IKS","Uurtarief",LEFT(F1405,6)="Arbeid","Uurtarief",AND(LEFT(F1405,8)="Bijdrage",RIGHT(F1405,15)="(vrijwilligers)"),"Vast tarief"),"")</f>
        <v/>
      </c>
      <c r="O1405" s="90"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0"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1"/>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59"/>
      <c r="Z1405" s="49"/>
      <c r="AA1405" s="37" t="str" cm="1">
        <f t="array" ref="AA1405">IFERROR(IF(INDEX(SubsidieTabel!$Q$1:$T$9,MATCH($F1405,SubsidieTabel!$Q$1:$Q$9,0),IFERROR(MATCH(Methode_Keuze,SubsidieTabel!$Q$1:$T$1,0),2))&lt;&gt;1=TRUE,"ja",""),"")</f>
        <v/>
      </c>
    </row>
    <row r="1406" spans="1:27" ht="15" customHeight="1" x14ac:dyDescent="0.25">
      <c r="A1406" s="85"/>
      <c r="B1406" s="217" t="str">
        <f>IF(A1406&lt;&gt;"",_xlfn.MAXIFS($B$1:B1405,$A$1:A1405,A1406)+1,"")</f>
        <v/>
      </c>
      <c r="C1406" s="50"/>
      <c r="D1406" s="50"/>
      <c r="E1406" s="50"/>
      <c r="F1406" s="50"/>
      <c r="G1406" s="280"/>
      <c r="H1406" s="293"/>
      <c r="I1406" s="292"/>
      <c r="J1406" s="292"/>
      <c r="K1406" s="200"/>
      <c r="L1406" s="200"/>
      <c r="M1406" s="89" t="str">
        <f>IFERROR(VLOOKUP(H1406,Lijsten!$H$1:$I$100,2,0),"")</f>
        <v/>
      </c>
      <c r="N1406" s="89" t="str" cm="1">
        <f t="array" ref="N1406">IFERROR(_xlfn.IFS(AND(LEFT(F1406,6)="Arbeid",RIGHT(F1406,3)&lt;&gt;"IKS"),IFERROR(VLOOKUP($G1406,Tb_KostenTypen[],2,0),"tarief"),RIGHT(F1406,3)="IKS","Uurtarief",LEFT(F1406,6)="Arbeid","Uurtarief",AND(LEFT(F1406,8)="Bijdrage",RIGHT(F1406,15)="(vrijwilligers)"),"Vast tarief"),"")</f>
        <v/>
      </c>
      <c r="O1406" s="90"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0"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1"/>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59"/>
      <c r="Z1406" s="49"/>
      <c r="AA1406" s="37" t="str" cm="1">
        <f t="array" ref="AA1406">IFERROR(IF(INDEX(SubsidieTabel!$Q$1:$T$9,MATCH($F1406,SubsidieTabel!$Q$1:$Q$9,0),IFERROR(MATCH(Methode_Keuze,SubsidieTabel!$Q$1:$T$1,0),2))&lt;&gt;1=TRUE,"ja",""),"")</f>
        <v/>
      </c>
    </row>
    <row r="1407" spans="1:27" ht="15" customHeight="1" x14ac:dyDescent="0.25">
      <c r="A1407" s="85"/>
      <c r="B1407" s="217" t="str">
        <f>IF(A1407&lt;&gt;"",_xlfn.MAXIFS($B$1:B1406,$A$1:A1406,A1407)+1,"")</f>
        <v/>
      </c>
      <c r="C1407" s="50"/>
      <c r="D1407" s="50"/>
      <c r="E1407" s="50"/>
      <c r="F1407" s="50"/>
      <c r="G1407" s="280"/>
      <c r="H1407" s="293"/>
      <c r="I1407" s="292"/>
      <c r="J1407" s="292"/>
      <c r="K1407" s="200"/>
      <c r="L1407" s="200"/>
      <c r="M1407" s="89" t="str">
        <f>IFERROR(VLOOKUP(H1407,Lijsten!$H$1:$I$100,2,0),"")</f>
        <v/>
      </c>
      <c r="N1407" s="89" t="str" cm="1">
        <f t="array" ref="N1407">IFERROR(_xlfn.IFS(AND(LEFT(F1407,6)="Arbeid",RIGHT(F1407,3)&lt;&gt;"IKS"),IFERROR(VLOOKUP($G1407,Tb_KostenTypen[],2,0),"tarief"),RIGHT(F1407,3)="IKS","Uurtarief",LEFT(F1407,6)="Arbeid","Uurtarief",AND(LEFT(F1407,8)="Bijdrage",RIGHT(F1407,15)="(vrijwilligers)"),"Vast tarief"),"")</f>
        <v/>
      </c>
      <c r="O1407" s="90"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0"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1"/>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59"/>
      <c r="Z1407" s="49"/>
      <c r="AA1407" s="37" t="str" cm="1">
        <f t="array" ref="AA1407">IFERROR(IF(INDEX(SubsidieTabel!$Q$1:$T$9,MATCH($F1407,SubsidieTabel!$Q$1:$Q$9,0),IFERROR(MATCH(Methode_Keuze,SubsidieTabel!$Q$1:$T$1,0),2))&lt;&gt;1=TRUE,"ja",""),"")</f>
        <v/>
      </c>
    </row>
    <row r="1408" spans="1:27" ht="15" customHeight="1" x14ac:dyDescent="0.25">
      <c r="A1408" s="85"/>
      <c r="B1408" s="217" t="str">
        <f>IF(A1408&lt;&gt;"",_xlfn.MAXIFS($B$1:B1407,$A$1:A1407,A1408)+1,"")</f>
        <v/>
      </c>
      <c r="C1408" s="50"/>
      <c r="D1408" s="50"/>
      <c r="E1408" s="50"/>
      <c r="F1408" s="50"/>
      <c r="G1408" s="280"/>
      <c r="H1408" s="293"/>
      <c r="I1408" s="292"/>
      <c r="J1408" s="292"/>
      <c r="K1408" s="200"/>
      <c r="L1408" s="200"/>
      <c r="M1408" s="89" t="str">
        <f>IFERROR(VLOOKUP(H1408,Lijsten!$H$1:$I$100,2,0),"")</f>
        <v/>
      </c>
      <c r="N1408" s="89" t="str" cm="1">
        <f t="array" ref="N1408">IFERROR(_xlfn.IFS(AND(LEFT(F1408,6)="Arbeid",RIGHT(F1408,3)&lt;&gt;"IKS"),IFERROR(VLOOKUP($G1408,Tb_KostenTypen[],2,0),"tarief"),RIGHT(F1408,3)="IKS","Uurtarief",LEFT(F1408,6)="Arbeid","Uurtarief",AND(LEFT(F1408,8)="Bijdrage",RIGHT(F1408,15)="(vrijwilligers)"),"Vast tarief"),"")</f>
        <v/>
      </c>
      <c r="O1408" s="90"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0"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1"/>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59"/>
      <c r="Z1408" s="49"/>
      <c r="AA1408" s="37" t="str" cm="1">
        <f t="array" ref="AA1408">IFERROR(IF(INDEX(SubsidieTabel!$Q$1:$T$9,MATCH($F1408,SubsidieTabel!$Q$1:$Q$9,0),IFERROR(MATCH(Methode_Keuze,SubsidieTabel!$Q$1:$T$1,0),2))&lt;&gt;1=TRUE,"ja",""),"")</f>
        <v/>
      </c>
    </row>
    <row r="1409" spans="1:27" ht="15" customHeight="1" x14ac:dyDescent="0.25">
      <c r="A1409" s="85"/>
      <c r="B1409" s="217" t="str">
        <f>IF(A1409&lt;&gt;"",_xlfn.MAXIFS($B$1:B1408,$A$1:A1408,A1409)+1,"")</f>
        <v/>
      </c>
      <c r="C1409" s="50"/>
      <c r="D1409" s="50"/>
      <c r="E1409" s="50"/>
      <c r="F1409" s="50"/>
      <c r="G1409" s="280"/>
      <c r="H1409" s="293"/>
      <c r="I1409" s="292"/>
      <c r="J1409" s="292"/>
      <c r="K1409" s="200"/>
      <c r="L1409" s="200"/>
      <c r="M1409" s="89" t="str">
        <f>IFERROR(VLOOKUP(H1409,Lijsten!$H$1:$I$100,2,0),"")</f>
        <v/>
      </c>
      <c r="N1409" s="89" t="str" cm="1">
        <f t="array" ref="N1409">IFERROR(_xlfn.IFS(AND(LEFT(F1409,6)="Arbeid",RIGHT(F1409,3)&lt;&gt;"IKS"),IFERROR(VLOOKUP($G1409,Tb_KostenTypen[],2,0),"tarief"),RIGHT(F1409,3)="IKS","Uurtarief",LEFT(F1409,6)="Arbeid","Uurtarief",AND(LEFT(F1409,8)="Bijdrage",RIGHT(F1409,15)="(vrijwilligers)"),"Vast tarief"),"")</f>
        <v/>
      </c>
      <c r="O1409" s="90"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0"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1"/>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59"/>
      <c r="Z1409" s="49"/>
      <c r="AA1409" s="37" t="str" cm="1">
        <f t="array" ref="AA1409">IFERROR(IF(INDEX(SubsidieTabel!$Q$1:$T$9,MATCH($F1409,SubsidieTabel!$Q$1:$Q$9,0),IFERROR(MATCH(Methode_Keuze,SubsidieTabel!$Q$1:$T$1,0),2))&lt;&gt;1=TRUE,"ja",""),"")</f>
        <v/>
      </c>
    </row>
    <row r="1410" spans="1:27" ht="15" customHeight="1" x14ac:dyDescent="0.25">
      <c r="A1410" s="85"/>
      <c r="B1410" s="217" t="str">
        <f>IF(A1410&lt;&gt;"",_xlfn.MAXIFS($B$1:B1409,$A$1:A1409,A1410)+1,"")</f>
        <v/>
      </c>
      <c r="C1410" s="50"/>
      <c r="D1410" s="50"/>
      <c r="E1410" s="50"/>
      <c r="F1410" s="50"/>
      <c r="G1410" s="280"/>
      <c r="H1410" s="293"/>
      <c r="I1410" s="292"/>
      <c r="J1410" s="292"/>
      <c r="K1410" s="200"/>
      <c r="L1410" s="200"/>
      <c r="M1410" s="89" t="str">
        <f>IFERROR(VLOOKUP(H1410,Lijsten!$H$1:$I$100,2,0),"")</f>
        <v/>
      </c>
      <c r="N1410" s="89" t="str" cm="1">
        <f t="array" ref="N1410">IFERROR(_xlfn.IFS(AND(LEFT(F1410,6)="Arbeid",RIGHT(F1410,3)&lt;&gt;"IKS"),IFERROR(VLOOKUP($G1410,Tb_KostenTypen[],2,0),"tarief"),RIGHT(F1410,3)="IKS","Uurtarief",LEFT(F1410,6)="Arbeid","Uurtarief",AND(LEFT(F1410,8)="Bijdrage",RIGHT(F1410,15)="(vrijwilligers)"),"Vast tarief"),"")</f>
        <v/>
      </c>
      <c r="O1410" s="90"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0"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1"/>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59"/>
      <c r="Z1410" s="49"/>
      <c r="AA1410" s="37" t="str" cm="1">
        <f t="array" ref="AA1410">IFERROR(IF(INDEX(SubsidieTabel!$Q$1:$T$9,MATCH($F1410,SubsidieTabel!$Q$1:$Q$9,0),IFERROR(MATCH(Methode_Keuze,SubsidieTabel!$Q$1:$T$1,0),2))&lt;&gt;1=TRUE,"ja",""),"")</f>
        <v/>
      </c>
    </row>
    <row r="1411" spans="1:27" ht="15" customHeight="1" x14ac:dyDescent="0.25">
      <c r="A1411" s="85"/>
      <c r="B1411" s="217" t="str">
        <f>IF(A1411&lt;&gt;"",_xlfn.MAXIFS($B$1:B1410,$A$1:A1410,A1411)+1,"")</f>
        <v/>
      </c>
      <c r="C1411" s="50"/>
      <c r="D1411" s="50"/>
      <c r="E1411" s="50"/>
      <c r="F1411" s="50"/>
      <c r="G1411" s="280"/>
      <c r="H1411" s="293"/>
      <c r="I1411" s="292"/>
      <c r="J1411" s="292"/>
      <c r="K1411" s="200"/>
      <c r="L1411" s="200"/>
      <c r="M1411" s="89" t="str">
        <f>IFERROR(VLOOKUP(H1411,Lijsten!$H$1:$I$100,2,0),"")</f>
        <v/>
      </c>
      <c r="N1411" s="89" t="str" cm="1">
        <f t="array" ref="N1411">IFERROR(_xlfn.IFS(AND(LEFT(F1411,6)="Arbeid",RIGHT(F1411,3)&lt;&gt;"IKS"),IFERROR(VLOOKUP($G1411,Tb_KostenTypen[],2,0),"tarief"),RIGHT(F1411,3)="IKS","Uurtarief",LEFT(F1411,6)="Arbeid","Uurtarief",AND(LEFT(F1411,8)="Bijdrage",RIGHT(F1411,15)="(vrijwilligers)"),"Vast tarief"),"")</f>
        <v/>
      </c>
      <c r="O1411" s="90"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0"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1"/>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59"/>
      <c r="Z1411" s="49"/>
      <c r="AA1411" s="37" t="str" cm="1">
        <f t="array" ref="AA1411">IFERROR(IF(INDEX(SubsidieTabel!$Q$1:$T$9,MATCH($F1411,SubsidieTabel!$Q$1:$Q$9,0),IFERROR(MATCH(Methode_Keuze,SubsidieTabel!$Q$1:$T$1,0),2))&lt;&gt;1=TRUE,"ja",""),"")</f>
        <v/>
      </c>
    </row>
    <row r="1412" spans="1:27" ht="15" customHeight="1" x14ac:dyDescent="0.25">
      <c r="A1412" s="85"/>
      <c r="B1412" s="217" t="str">
        <f>IF(A1412&lt;&gt;"",_xlfn.MAXIFS($B$1:B1411,$A$1:A1411,A1412)+1,"")</f>
        <v/>
      </c>
      <c r="C1412" s="50"/>
      <c r="D1412" s="50"/>
      <c r="E1412" s="50"/>
      <c r="F1412" s="50"/>
      <c r="G1412" s="280"/>
      <c r="H1412" s="293"/>
      <c r="I1412" s="292"/>
      <c r="J1412" s="292"/>
      <c r="K1412" s="200"/>
      <c r="L1412" s="200"/>
      <c r="M1412" s="89" t="str">
        <f>IFERROR(VLOOKUP(H1412,Lijsten!$H$1:$I$100,2,0),"")</f>
        <v/>
      </c>
      <c r="N1412" s="89" t="str" cm="1">
        <f t="array" ref="N1412">IFERROR(_xlfn.IFS(AND(LEFT(F1412,6)="Arbeid",RIGHT(F1412,3)&lt;&gt;"IKS"),IFERROR(VLOOKUP($G1412,Tb_KostenTypen[],2,0),"tarief"),RIGHT(F1412,3)="IKS","Uurtarief",LEFT(F1412,6)="Arbeid","Uurtarief",AND(LEFT(F1412,8)="Bijdrage",RIGHT(F1412,15)="(vrijwilligers)"),"Vast tarief"),"")</f>
        <v/>
      </c>
      <c r="O1412" s="90"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0"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1"/>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59"/>
      <c r="Z1412" s="49"/>
      <c r="AA1412" s="37" t="str" cm="1">
        <f t="array" ref="AA1412">IFERROR(IF(INDEX(SubsidieTabel!$Q$1:$T$9,MATCH($F1412,SubsidieTabel!$Q$1:$Q$9,0),IFERROR(MATCH(Methode_Keuze,SubsidieTabel!$Q$1:$T$1,0),2))&lt;&gt;1=TRUE,"ja",""),"")</f>
        <v/>
      </c>
    </row>
    <row r="1413" spans="1:27" ht="15" customHeight="1" x14ac:dyDescent="0.25">
      <c r="A1413" s="85"/>
      <c r="B1413" s="217" t="str">
        <f>IF(A1413&lt;&gt;"",_xlfn.MAXIFS($B$1:B1412,$A$1:A1412,A1413)+1,"")</f>
        <v/>
      </c>
      <c r="C1413" s="50"/>
      <c r="D1413" s="50"/>
      <c r="E1413" s="50"/>
      <c r="F1413" s="50"/>
      <c r="G1413" s="280"/>
      <c r="H1413" s="293"/>
      <c r="I1413" s="292"/>
      <c r="J1413" s="292"/>
      <c r="K1413" s="200"/>
      <c r="L1413" s="200"/>
      <c r="M1413" s="89" t="str">
        <f>IFERROR(VLOOKUP(H1413,Lijsten!$H$1:$I$100,2,0),"")</f>
        <v/>
      </c>
      <c r="N1413" s="89" t="str" cm="1">
        <f t="array" ref="N1413">IFERROR(_xlfn.IFS(AND(LEFT(F1413,6)="Arbeid",RIGHT(F1413,3)&lt;&gt;"IKS"),IFERROR(VLOOKUP($G1413,Tb_KostenTypen[],2,0),"tarief"),RIGHT(F1413,3)="IKS","Uurtarief",LEFT(F1413,6)="Arbeid","Uurtarief",AND(LEFT(F1413,8)="Bijdrage",RIGHT(F1413,15)="(vrijwilligers)"),"Vast tarief"),"")</f>
        <v/>
      </c>
      <c r="O1413" s="90"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0"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1"/>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59"/>
      <c r="Z1413" s="49"/>
      <c r="AA1413" s="37" t="str" cm="1">
        <f t="array" ref="AA1413">IFERROR(IF(INDEX(SubsidieTabel!$Q$1:$T$9,MATCH($F1413,SubsidieTabel!$Q$1:$Q$9,0),IFERROR(MATCH(Methode_Keuze,SubsidieTabel!$Q$1:$T$1,0),2))&lt;&gt;1=TRUE,"ja",""),"")</f>
        <v/>
      </c>
    </row>
    <row r="1414" spans="1:27" ht="15" customHeight="1" x14ac:dyDescent="0.25">
      <c r="A1414" s="85"/>
      <c r="B1414" s="217" t="str">
        <f>IF(A1414&lt;&gt;"",_xlfn.MAXIFS($B$1:B1413,$A$1:A1413,A1414)+1,"")</f>
        <v/>
      </c>
      <c r="C1414" s="50"/>
      <c r="D1414" s="50"/>
      <c r="E1414" s="50"/>
      <c r="F1414" s="50"/>
      <c r="G1414" s="280"/>
      <c r="H1414" s="293"/>
      <c r="I1414" s="292"/>
      <c r="J1414" s="292"/>
      <c r="K1414" s="200"/>
      <c r="L1414" s="200"/>
      <c r="M1414" s="89" t="str">
        <f>IFERROR(VLOOKUP(H1414,Lijsten!$H$1:$I$100,2,0),"")</f>
        <v/>
      </c>
      <c r="N1414" s="89" t="str" cm="1">
        <f t="array" ref="N1414">IFERROR(_xlfn.IFS(AND(LEFT(F1414,6)="Arbeid",RIGHT(F1414,3)&lt;&gt;"IKS"),IFERROR(VLOOKUP($G1414,Tb_KostenTypen[],2,0),"tarief"),RIGHT(F1414,3)="IKS","Uurtarief",LEFT(F1414,6)="Arbeid","Uurtarief",AND(LEFT(F1414,8)="Bijdrage",RIGHT(F1414,15)="(vrijwilligers)"),"Vast tarief"),"")</f>
        <v/>
      </c>
      <c r="O1414" s="90"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0"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1"/>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59"/>
      <c r="Z1414" s="49"/>
      <c r="AA1414" s="37" t="str" cm="1">
        <f t="array" ref="AA1414">IFERROR(IF(INDEX(SubsidieTabel!$Q$1:$T$9,MATCH($F1414,SubsidieTabel!$Q$1:$Q$9,0),IFERROR(MATCH(Methode_Keuze,SubsidieTabel!$Q$1:$T$1,0),2))&lt;&gt;1=TRUE,"ja",""),"")</f>
        <v/>
      </c>
    </row>
    <row r="1415" spans="1:27" ht="15" customHeight="1" x14ac:dyDescent="0.25">
      <c r="A1415" s="85"/>
      <c r="B1415" s="217" t="str">
        <f>IF(A1415&lt;&gt;"",_xlfn.MAXIFS($B$1:B1414,$A$1:A1414,A1415)+1,"")</f>
        <v/>
      </c>
      <c r="C1415" s="50"/>
      <c r="D1415" s="50"/>
      <c r="E1415" s="50"/>
      <c r="F1415" s="50"/>
      <c r="G1415" s="280"/>
      <c r="H1415" s="293"/>
      <c r="I1415" s="292"/>
      <c r="J1415" s="292"/>
      <c r="K1415" s="200"/>
      <c r="L1415" s="200"/>
      <c r="M1415" s="89" t="str">
        <f>IFERROR(VLOOKUP(H1415,Lijsten!$H$1:$I$100,2,0),"")</f>
        <v/>
      </c>
      <c r="N1415" s="89" t="str" cm="1">
        <f t="array" ref="N1415">IFERROR(_xlfn.IFS(AND(LEFT(F1415,6)="Arbeid",RIGHT(F1415,3)&lt;&gt;"IKS"),IFERROR(VLOOKUP($G1415,Tb_KostenTypen[],2,0),"tarief"),RIGHT(F1415,3)="IKS","Uurtarief",LEFT(F1415,6)="Arbeid","Uurtarief",AND(LEFT(F1415,8)="Bijdrage",RIGHT(F1415,15)="(vrijwilligers)"),"Vast tarief"),"")</f>
        <v/>
      </c>
      <c r="O1415" s="90"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0"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1"/>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59"/>
      <c r="Z1415" s="49"/>
      <c r="AA1415" s="37" t="str" cm="1">
        <f t="array" ref="AA1415">IFERROR(IF(INDEX(SubsidieTabel!$Q$1:$T$9,MATCH($F1415,SubsidieTabel!$Q$1:$Q$9,0),IFERROR(MATCH(Methode_Keuze,SubsidieTabel!$Q$1:$T$1,0),2))&lt;&gt;1=TRUE,"ja",""),"")</f>
        <v/>
      </c>
    </row>
    <row r="1416" spans="1:27" ht="15" customHeight="1" x14ac:dyDescent="0.25">
      <c r="A1416" s="85"/>
      <c r="B1416" s="217" t="str">
        <f>IF(A1416&lt;&gt;"",_xlfn.MAXIFS($B$1:B1415,$A$1:A1415,A1416)+1,"")</f>
        <v/>
      </c>
      <c r="C1416" s="50"/>
      <c r="D1416" s="50"/>
      <c r="E1416" s="50"/>
      <c r="F1416" s="50"/>
      <c r="G1416" s="280"/>
      <c r="H1416" s="293"/>
      <c r="I1416" s="292"/>
      <c r="J1416" s="292"/>
      <c r="K1416" s="200"/>
      <c r="L1416" s="200"/>
      <c r="M1416" s="89" t="str">
        <f>IFERROR(VLOOKUP(H1416,Lijsten!$H$1:$I$100,2,0),"")</f>
        <v/>
      </c>
      <c r="N1416" s="89" t="str" cm="1">
        <f t="array" ref="N1416">IFERROR(_xlfn.IFS(AND(LEFT(F1416,6)="Arbeid",RIGHT(F1416,3)&lt;&gt;"IKS"),IFERROR(VLOOKUP($G1416,Tb_KostenTypen[],2,0),"tarief"),RIGHT(F1416,3)="IKS","Uurtarief",LEFT(F1416,6)="Arbeid","Uurtarief",AND(LEFT(F1416,8)="Bijdrage",RIGHT(F1416,15)="(vrijwilligers)"),"Vast tarief"),"")</f>
        <v/>
      </c>
      <c r="O1416" s="90"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0"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1"/>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59"/>
      <c r="Z1416" s="49"/>
      <c r="AA1416" s="37" t="str" cm="1">
        <f t="array" ref="AA1416">IFERROR(IF(INDEX(SubsidieTabel!$Q$1:$T$9,MATCH($F1416,SubsidieTabel!$Q$1:$Q$9,0),IFERROR(MATCH(Methode_Keuze,SubsidieTabel!$Q$1:$T$1,0),2))&lt;&gt;1=TRUE,"ja",""),"")</f>
        <v/>
      </c>
    </row>
    <row r="1417" spans="1:27" ht="15" customHeight="1" x14ac:dyDescent="0.25">
      <c r="A1417" s="85"/>
      <c r="B1417" s="217" t="str">
        <f>IF(A1417&lt;&gt;"",_xlfn.MAXIFS($B$1:B1416,$A$1:A1416,A1417)+1,"")</f>
        <v/>
      </c>
      <c r="C1417" s="50"/>
      <c r="D1417" s="50"/>
      <c r="E1417" s="50"/>
      <c r="F1417" s="50"/>
      <c r="G1417" s="280"/>
      <c r="H1417" s="293"/>
      <c r="I1417" s="292"/>
      <c r="J1417" s="292"/>
      <c r="K1417" s="200"/>
      <c r="L1417" s="200"/>
      <c r="M1417" s="89" t="str">
        <f>IFERROR(VLOOKUP(H1417,Lijsten!$H$1:$I$100,2,0),"")</f>
        <v/>
      </c>
      <c r="N1417" s="89" t="str" cm="1">
        <f t="array" ref="N1417">IFERROR(_xlfn.IFS(AND(LEFT(F1417,6)="Arbeid",RIGHT(F1417,3)&lt;&gt;"IKS"),IFERROR(VLOOKUP($G1417,Tb_KostenTypen[],2,0),"tarief"),RIGHT(F1417,3)="IKS","Uurtarief",LEFT(F1417,6)="Arbeid","Uurtarief",AND(LEFT(F1417,8)="Bijdrage",RIGHT(F1417,15)="(vrijwilligers)"),"Vast tarief"),"")</f>
        <v/>
      </c>
      <c r="O1417" s="90"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0"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1"/>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59"/>
      <c r="Z1417" s="49"/>
      <c r="AA1417" s="37" t="str" cm="1">
        <f t="array" ref="AA1417">IFERROR(IF(INDEX(SubsidieTabel!$Q$1:$T$9,MATCH($F1417,SubsidieTabel!$Q$1:$Q$9,0),IFERROR(MATCH(Methode_Keuze,SubsidieTabel!$Q$1:$T$1,0),2))&lt;&gt;1=TRUE,"ja",""),"")</f>
        <v/>
      </c>
    </row>
    <row r="1418" spans="1:27" ht="15" customHeight="1" x14ac:dyDescent="0.25">
      <c r="A1418" s="85"/>
      <c r="B1418" s="217" t="str">
        <f>IF(A1418&lt;&gt;"",_xlfn.MAXIFS($B$1:B1417,$A$1:A1417,A1418)+1,"")</f>
        <v/>
      </c>
      <c r="C1418" s="50"/>
      <c r="D1418" s="50"/>
      <c r="E1418" s="50"/>
      <c r="F1418" s="50"/>
      <c r="G1418" s="280"/>
      <c r="H1418" s="293"/>
      <c r="I1418" s="292"/>
      <c r="J1418" s="292"/>
      <c r="K1418" s="200"/>
      <c r="L1418" s="200"/>
      <c r="M1418" s="89" t="str">
        <f>IFERROR(VLOOKUP(H1418,Lijsten!$H$1:$I$100,2,0),"")</f>
        <v/>
      </c>
      <c r="N1418" s="89" t="str" cm="1">
        <f t="array" ref="N1418">IFERROR(_xlfn.IFS(AND(LEFT(F1418,6)="Arbeid",RIGHT(F1418,3)&lt;&gt;"IKS"),IFERROR(VLOOKUP($G1418,Tb_KostenTypen[],2,0),"tarief"),RIGHT(F1418,3)="IKS","Uurtarief",LEFT(F1418,6)="Arbeid","Uurtarief",AND(LEFT(F1418,8)="Bijdrage",RIGHT(F1418,15)="(vrijwilligers)"),"Vast tarief"),"")</f>
        <v/>
      </c>
      <c r="O1418" s="90"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0"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1"/>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59"/>
      <c r="Z1418" s="49"/>
      <c r="AA1418" s="37" t="str" cm="1">
        <f t="array" ref="AA1418">IFERROR(IF(INDEX(SubsidieTabel!$Q$1:$T$9,MATCH($F1418,SubsidieTabel!$Q$1:$Q$9,0),IFERROR(MATCH(Methode_Keuze,SubsidieTabel!$Q$1:$T$1,0),2))&lt;&gt;1=TRUE,"ja",""),"")</f>
        <v/>
      </c>
    </row>
    <row r="1419" spans="1:27" ht="15" customHeight="1" x14ac:dyDescent="0.25">
      <c r="A1419" s="85"/>
      <c r="B1419" s="217" t="str">
        <f>IF(A1419&lt;&gt;"",_xlfn.MAXIFS($B$1:B1418,$A$1:A1418,A1419)+1,"")</f>
        <v/>
      </c>
      <c r="C1419" s="50"/>
      <c r="D1419" s="50"/>
      <c r="E1419" s="50"/>
      <c r="F1419" s="50"/>
      <c r="G1419" s="280"/>
      <c r="H1419" s="293"/>
      <c r="I1419" s="292"/>
      <c r="J1419" s="292"/>
      <c r="K1419" s="200"/>
      <c r="L1419" s="200"/>
      <c r="M1419" s="89" t="str">
        <f>IFERROR(VLOOKUP(H1419,Lijsten!$H$1:$I$100,2,0),"")</f>
        <v/>
      </c>
      <c r="N1419" s="89" t="str" cm="1">
        <f t="array" ref="N1419">IFERROR(_xlfn.IFS(AND(LEFT(F1419,6)="Arbeid",RIGHT(F1419,3)&lt;&gt;"IKS"),IFERROR(VLOOKUP($G1419,Tb_KostenTypen[],2,0),"tarief"),RIGHT(F1419,3)="IKS","Uurtarief",LEFT(F1419,6)="Arbeid","Uurtarief",AND(LEFT(F1419,8)="Bijdrage",RIGHT(F1419,15)="(vrijwilligers)"),"Vast tarief"),"")</f>
        <v/>
      </c>
      <c r="O1419" s="90"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0"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1"/>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59"/>
      <c r="Z1419" s="49"/>
      <c r="AA1419" s="37" t="str" cm="1">
        <f t="array" ref="AA1419">IFERROR(IF(INDEX(SubsidieTabel!$Q$1:$T$9,MATCH($F1419,SubsidieTabel!$Q$1:$Q$9,0),IFERROR(MATCH(Methode_Keuze,SubsidieTabel!$Q$1:$T$1,0),2))&lt;&gt;1=TRUE,"ja",""),"")</f>
        <v/>
      </c>
    </row>
    <row r="1420" spans="1:27" ht="15" customHeight="1" x14ac:dyDescent="0.25">
      <c r="A1420" s="85"/>
      <c r="B1420" s="217" t="str">
        <f>IF(A1420&lt;&gt;"",_xlfn.MAXIFS($B$1:B1419,$A$1:A1419,A1420)+1,"")</f>
        <v/>
      </c>
      <c r="C1420" s="50"/>
      <c r="D1420" s="50"/>
      <c r="E1420" s="50"/>
      <c r="F1420" s="50"/>
      <c r="G1420" s="280"/>
      <c r="H1420" s="293"/>
      <c r="I1420" s="292"/>
      <c r="J1420" s="292"/>
      <c r="K1420" s="200"/>
      <c r="L1420" s="200"/>
      <c r="M1420" s="89" t="str">
        <f>IFERROR(VLOOKUP(H1420,Lijsten!$H$1:$I$100,2,0),"")</f>
        <v/>
      </c>
      <c r="N1420" s="89" t="str" cm="1">
        <f t="array" ref="N1420">IFERROR(_xlfn.IFS(AND(LEFT(F1420,6)="Arbeid",RIGHT(F1420,3)&lt;&gt;"IKS"),IFERROR(VLOOKUP($G1420,Tb_KostenTypen[],2,0),"tarief"),RIGHT(F1420,3)="IKS","Uurtarief",LEFT(F1420,6)="Arbeid","Uurtarief",AND(LEFT(F1420,8)="Bijdrage",RIGHT(F1420,15)="(vrijwilligers)"),"Vast tarief"),"")</f>
        <v/>
      </c>
      <c r="O1420" s="90"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0"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1"/>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59"/>
      <c r="Z1420" s="49"/>
      <c r="AA1420" s="37" t="str" cm="1">
        <f t="array" ref="AA1420">IFERROR(IF(INDEX(SubsidieTabel!$Q$1:$T$9,MATCH($F1420,SubsidieTabel!$Q$1:$Q$9,0),IFERROR(MATCH(Methode_Keuze,SubsidieTabel!$Q$1:$T$1,0),2))&lt;&gt;1=TRUE,"ja",""),"")</f>
        <v/>
      </c>
    </row>
    <row r="1421" spans="1:27" ht="15" customHeight="1" x14ac:dyDescent="0.25">
      <c r="A1421" s="85"/>
      <c r="B1421" s="217" t="str">
        <f>IF(A1421&lt;&gt;"",_xlfn.MAXIFS($B$1:B1420,$A$1:A1420,A1421)+1,"")</f>
        <v/>
      </c>
      <c r="C1421" s="50"/>
      <c r="D1421" s="50"/>
      <c r="E1421" s="50"/>
      <c r="F1421" s="50"/>
      <c r="G1421" s="280"/>
      <c r="H1421" s="293"/>
      <c r="I1421" s="292"/>
      <c r="J1421" s="292"/>
      <c r="K1421" s="200"/>
      <c r="L1421" s="200"/>
      <c r="M1421" s="89" t="str">
        <f>IFERROR(VLOOKUP(H1421,Lijsten!$H$1:$I$100,2,0),"")</f>
        <v/>
      </c>
      <c r="N1421" s="89" t="str" cm="1">
        <f t="array" ref="N1421">IFERROR(_xlfn.IFS(AND(LEFT(F1421,6)="Arbeid",RIGHT(F1421,3)&lt;&gt;"IKS"),IFERROR(VLOOKUP($G1421,Tb_KostenTypen[],2,0),"tarief"),RIGHT(F1421,3)="IKS","Uurtarief",LEFT(F1421,6)="Arbeid","Uurtarief",AND(LEFT(F1421,8)="Bijdrage",RIGHT(F1421,15)="(vrijwilligers)"),"Vast tarief"),"")</f>
        <v/>
      </c>
      <c r="O1421" s="90"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0"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1"/>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59"/>
      <c r="Z1421" s="49"/>
      <c r="AA1421" s="37" t="str" cm="1">
        <f t="array" ref="AA1421">IFERROR(IF(INDEX(SubsidieTabel!$Q$1:$T$9,MATCH($F1421,SubsidieTabel!$Q$1:$Q$9,0),IFERROR(MATCH(Methode_Keuze,SubsidieTabel!$Q$1:$T$1,0),2))&lt;&gt;1=TRUE,"ja",""),"")</f>
        <v/>
      </c>
    </row>
    <row r="1422" spans="1:27" ht="15" customHeight="1" x14ac:dyDescent="0.25">
      <c r="A1422" s="85"/>
      <c r="B1422" s="217" t="str">
        <f>IF(A1422&lt;&gt;"",_xlfn.MAXIFS($B$1:B1421,$A$1:A1421,A1422)+1,"")</f>
        <v/>
      </c>
      <c r="C1422" s="50"/>
      <c r="D1422" s="50"/>
      <c r="E1422" s="50"/>
      <c r="F1422" s="50"/>
      <c r="G1422" s="280"/>
      <c r="H1422" s="293"/>
      <c r="I1422" s="292"/>
      <c r="J1422" s="292"/>
      <c r="K1422" s="200"/>
      <c r="L1422" s="200"/>
      <c r="M1422" s="89" t="str">
        <f>IFERROR(VLOOKUP(H1422,Lijsten!$H$1:$I$100,2,0),"")</f>
        <v/>
      </c>
      <c r="N1422" s="89" t="str" cm="1">
        <f t="array" ref="N1422">IFERROR(_xlfn.IFS(AND(LEFT(F1422,6)="Arbeid",RIGHT(F1422,3)&lt;&gt;"IKS"),IFERROR(VLOOKUP($G1422,Tb_KostenTypen[],2,0),"tarief"),RIGHT(F1422,3)="IKS","Uurtarief",LEFT(F1422,6)="Arbeid","Uurtarief",AND(LEFT(F1422,8)="Bijdrage",RIGHT(F1422,15)="(vrijwilligers)"),"Vast tarief"),"")</f>
        <v/>
      </c>
      <c r="O1422" s="90"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0"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1"/>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59"/>
      <c r="Z1422" s="49"/>
      <c r="AA1422" s="37" t="str" cm="1">
        <f t="array" ref="AA1422">IFERROR(IF(INDEX(SubsidieTabel!$Q$1:$T$9,MATCH($F1422,SubsidieTabel!$Q$1:$Q$9,0),IFERROR(MATCH(Methode_Keuze,SubsidieTabel!$Q$1:$T$1,0),2))&lt;&gt;1=TRUE,"ja",""),"")</f>
        <v/>
      </c>
    </row>
    <row r="1423" spans="1:27" ht="15" customHeight="1" x14ac:dyDescent="0.25">
      <c r="A1423" s="85"/>
      <c r="B1423" s="217" t="str">
        <f>IF(A1423&lt;&gt;"",_xlfn.MAXIFS($B$1:B1422,$A$1:A1422,A1423)+1,"")</f>
        <v/>
      </c>
      <c r="C1423" s="50"/>
      <c r="D1423" s="50"/>
      <c r="E1423" s="50"/>
      <c r="F1423" s="50"/>
      <c r="G1423" s="280"/>
      <c r="H1423" s="293"/>
      <c r="I1423" s="292"/>
      <c r="J1423" s="292"/>
      <c r="K1423" s="200"/>
      <c r="L1423" s="200"/>
      <c r="M1423" s="89" t="str">
        <f>IFERROR(VLOOKUP(H1423,Lijsten!$H$1:$I$100,2,0),"")</f>
        <v/>
      </c>
      <c r="N1423" s="89" t="str" cm="1">
        <f t="array" ref="N1423">IFERROR(_xlfn.IFS(AND(LEFT(F1423,6)="Arbeid",RIGHT(F1423,3)&lt;&gt;"IKS"),IFERROR(VLOOKUP($G1423,Tb_KostenTypen[],2,0),"tarief"),RIGHT(F1423,3)="IKS","Uurtarief",LEFT(F1423,6)="Arbeid","Uurtarief",AND(LEFT(F1423,8)="Bijdrage",RIGHT(F1423,15)="(vrijwilligers)"),"Vast tarief"),"")</f>
        <v/>
      </c>
      <c r="O1423" s="90"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0"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1"/>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59"/>
      <c r="Z1423" s="49"/>
      <c r="AA1423" s="37" t="str" cm="1">
        <f t="array" ref="AA1423">IFERROR(IF(INDEX(SubsidieTabel!$Q$1:$T$9,MATCH($F1423,SubsidieTabel!$Q$1:$Q$9,0),IFERROR(MATCH(Methode_Keuze,SubsidieTabel!$Q$1:$T$1,0),2))&lt;&gt;1=TRUE,"ja",""),"")</f>
        <v/>
      </c>
    </row>
    <row r="1424" spans="1:27" ht="15" customHeight="1" x14ac:dyDescent="0.25">
      <c r="A1424" s="85"/>
      <c r="B1424" s="217" t="str">
        <f>IF(A1424&lt;&gt;"",_xlfn.MAXIFS($B$1:B1423,$A$1:A1423,A1424)+1,"")</f>
        <v/>
      </c>
      <c r="C1424" s="50"/>
      <c r="D1424" s="50"/>
      <c r="E1424" s="50"/>
      <c r="F1424" s="50"/>
      <c r="G1424" s="280"/>
      <c r="H1424" s="293"/>
      <c r="I1424" s="292"/>
      <c r="J1424" s="292"/>
      <c r="K1424" s="200"/>
      <c r="L1424" s="200"/>
      <c r="M1424" s="89" t="str">
        <f>IFERROR(VLOOKUP(H1424,Lijsten!$H$1:$I$100,2,0),"")</f>
        <v/>
      </c>
      <c r="N1424" s="89" t="str" cm="1">
        <f t="array" ref="N1424">IFERROR(_xlfn.IFS(AND(LEFT(F1424,6)="Arbeid",RIGHT(F1424,3)&lt;&gt;"IKS"),IFERROR(VLOOKUP($G1424,Tb_KostenTypen[],2,0),"tarief"),RIGHT(F1424,3)="IKS","Uurtarief",LEFT(F1424,6)="Arbeid","Uurtarief",AND(LEFT(F1424,8)="Bijdrage",RIGHT(F1424,15)="(vrijwilligers)"),"Vast tarief"),"")</f>
        <v/>
      </c>
      <c r="O1424" s="90"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0"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1"/>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59"/>
      <c r="Z1424" s="49"/>
      <c r="AA1424" s="37" t="str" cm="1">
        <f t="array" ref="AA1424">IFERROR(IF(INDEX(SubsidieTabel!$Q$1:$T$9,MATCH($F1424,SubsidieTabel!$Q$1:$Q$9,0),IFERROR(MATCH(Methode_Keuze,SubsidieTabel!$Q$1:$T$1,0),2))&lt;&gt;1=TRUE,"ja",""),"")</f>
        <v/>
      </c>
    </row>
    <row r="1425" spans="1:27" ht="15" customHeight="1" x14ac:dyDescent="0.25">
      <c r="A1425" s="85"/>
      <c r="B1425" s="217" t="str">
        <f>IF(A1425&lt;&gt;"",_xlfn.MAXIFS($B$1:B1424,$A$1:A1424,A1425)+1,"")</f>
        <v/>
      </c>
      <c r="C1425" s="50"/>
      <c r="D1425" s="50"/>
      <c r="E1425" s="50"/>
      <c r="F1425" s="50"/>
      <c r="G1425" s="280"/>
      <c r="H1425" s="293"/>
      <c r="I1425" s="292"/>
      <c r="J1425" s="292"/>
      <c r="K1425" s="200"/>
      <c r="L1425" s="200"/>
      <c r="M1425" s="89" t="str">
        <f>IFERROR(VLOOKUP(H1425,Lijsten!$H$1:$I$100,2,0),"")</f>
        <v/>
      </c>
      <c r="N1425" s="89" t="str" cm="1">
        <f t="array" ref="N1425">IFERROR(_xlfn.IFS(AND(LEFT(F1425,6)="Arbeid",RIGHT(F1425,3)&lt;&gt;"IKS"),IFERROR(VLOOKUP($G1425,Tb_KostenTypen[],2,0),"tarief"),RIGHT(F1425,3)="IKS","Uurtarief",LEFT(F1425,6)="Arbeid","Uurtarief",AND(LEFT(F1425,8)="Bijdrage",RIGHT(F1425,15)="(vrijwilligers)"),"Vast tarief"),"")</f>
        <v/>
      </c>
      <c r="O1425" s="90"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0"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1"/>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59"/>
      <c r="Z1425" s="49"/>
      <c r="AA1425" s="37" t="str" cm="1">
        <f t="array" ref="AA1425">IFERROR(IF(INDEX(SubsidieTabel!$Q$1:$T$9,MATCH($F1425,SubsidieTabel!$Q$1:$Q$9,0),IFERROR(MATCH(Methode_Keuze,SubsidieTabel!$Q$1:$T$1,0),2))&lt;&gt;1=TRUE,"ja",""),"")</f>
        <v/>
      </c>
    </row>
    <row r="1426" spans="1:27" ht="15" customHeight="1" x14ac:dyDescent="0.25">
      <c r="A1426" s="85"/>
      <c r="B1426" s="217" t="str">
        <f>IF(A1426&lt;&gt;"",_xlfn.MAXIFS($B$1:B1425,$A$1:A1425,A1426)+1,"")</f>
        <v/>
      </c>
      <c r="C1426" s="50"/>
      <c r="D1426" s="50"/>
      <c r="E1426" s="50"/>
      <c r="F1426" s="50"/>
      <c r="G1426" s="280"/>
      <c r="H1426" s="293"/>
      <c r="I1426" s="292"/>
      <c r="J1426" s="292"/>
      <c r="K1426" s="200"/>
      <c r="L1426" s="200"/>
      <c r="M1426" s="89" t="str">
        <f>IFERROR(VLOOKUP(H1426,Lijsten!$H$1:$I$100,2,0),"")</f>
        <v/>
      </c>
      <c r="N1426" s="89" t="str" cm="1">
        <f t="array" ref="N1426">IFERROR(_xlfn.IFS(AND(LEFT(F1426,6)="Arbeid",RIGHT(F1426,3)&lt;&gt;"IKS"),IFERROR(VLOOKUP($G1426,Tb_KostenTypen[],2,0),"tarief"),RIGHT(F1426,3)="IKS","Uurtarief",LEFT(F1426,6)="Arbeid","Uurtarief",AND(LEFT(F1426,8)="Bijdrage",RIGHT(F1426,15)="(vrijwilligers)"),"Vast tarief"),"")</f>
        <v/>
      </c>
      <c r="O1426" s="90"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0"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1"/>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59"/>
      <c r="Z1426" s="49"/>
      <c r="AA1426" s="37" t="str" cm="1">
        <f t="array" ref="AA1426">IFERROR(IF(INDEX(SubsidieTabel!$Q$1:$T$9,MATCH($F1426,SubsidieTabel!$Q$1:$Q$9,0),IFERROR(MATCH(Methode_Keuze,SubsidieTabel!$Q$1:$T$1,0),2))&lt;&gt;1=TRUE,"ja",""),"")</f>
        <v/>
      </c>
    </row>
    <row r="1427" spans="1:27" ht="15" customHeight="1" x14ac:dyDescent="0.25">
      <c r="A1427" s="85"/>
      <c r="B1427" s="217" t="str">
        <f>IF(A1427&lt;&gt;"",_xlfn.MAXIFS($B$1:B1426,$A$1:A1426,A1427)+1,"")</f>
        <v/>
      </c>
      <c r="C1427" s="50"/>
      <c r="D1427" s="50"/>
      <c r="E1427" s="50"/>
      <c r="F1427" s="50"/>
      <c r="G1427" s="280"/>
      <c r="H1427" s="293"/>
      <c r="I1427" s="292"/>
      <c r="J1427" s="292"/>
      <c r="K1427" s="200"/>
      <c r="L1427" s="200"/>
      <c r="M1427" s="89" t="str">
        <f>IFERROR(VLOOKUP(H1427,Lijsten!$H$1:$I$100,2,0),"")</f>
        <v/>
      </c>
      <c r="N1427" s="89" t="str" cm="1">
        <f t="array" ref="N1427">IFERROR(_xlfn.IFS(AND(LEFT(F1427,6)="Arbeid",RIGHT(F1427,3)&lt;&gt;"IKS"),IFERROR(VLOOKUP($G1427,Tb_KostenTypen[],2,0),"tarief"),RIGHT(F1427,3)="IKS","Uurtarief",LEFT(F1427,6)="Arbeid","Uurtarief",AND(LEFT(F1427,8)="Bijdrage",RIGHT(F1427,15)="(vrijwilligers)"),"Vast tarief"),"")</f>
        <v/>
      </c>
      <c r="O1427" s="90"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0"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1"/>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59"/>
      <c r="Z1427" s="49"/>
      <c r="AA1427" s="37" t="str" cm="1">
        <f t="array" ref="AA1427">IFERROR(IF(INDEX(SubsidieTabel!$Q$1:$T$9,MATCH($F1427,SubsidieTabel!$Q$1:$Q$9,0),IFERROR(MATCH(Methode_Keuze,SubsidieTabel!$Q$1:$T$1,0),2))&lt;&gt;1=TRUE,"ja",""),"")</f>
        <v/>
      </c>
    </row>
    <row r="1428" spans="1:27" ht="15" customHeight="1" x14ac:dyDescent="0.25">
      <c r="A1428" s="85"/>
      <c r="B1428" s="217" t="str">
        <f>IF(A1428&lt;&gt;"",_xlfn.MAXIFS($B$1:B1427,$A$1:A1427,A1428)+1,"")</f>
        <v/>
      </c>
      <c r="C1428" s="50"/>
      <c r="D1428" s="50"/>
      <c r="E1428" s="50"/>
      <c r="F1428" s="50"/>
      <c r="G1428" s="280"/>
      <c r="H1428" s="293"/>
      <c r="I1428" s="292"/>
      <c r="J1428" s="292"/>
      <c r="K1428" s="200"/>
      <c r="L1428" s="200"/>
      <c r="M1428" s="89" t="str">
        <f>IFERROR(VLOOKUP(H1428,Lijsten!$H$1:$I$100,2,0),"")</f>
        <v/>
      </c>
      <c r="N1428" s="89" t="str" cm="1">
        <f t="array" ref="N1428">IFERROR(_xlfn.IFS(AND(LEFT(F1428,6)="Arbeid",RIGHT(F1428,3)&lt;&gt;"IKS"),IFERROR(VLOOKUP($G1428,Tb_KostenTypen[],2,0),"tarief"),RIGHT(F1428,3)="IKS","Uurtarief",LEFT(F1428,6)="Arbeid","Uurtarief",AND(LEFT(F1428,8)="Bijdrage",RIGHT(F1428,15)="(vrijwilligers)"),"Vast tarief"),"")</f>
        <v/>
      </c>
      <c r="O1428" s="90"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0"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1"/>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59"/>
      <c r="Z1428" s="49"/>
      <c r="AA1428" s="37" t="str" cm="1">
        <f t="array" ref="AA1428">IFERROR(IF(INDEX(SubsidieTabel!$Q$1:$T$9,MATCH($F1428,SubsidieTabel!$Q$1:$Q$9,0),IFERROR(MATCH(Methode_Keuze,SubsidieTabel!$Q$1:$T$1,0),2))&lt;&gt;1=TRUE,"ja",""),"")</f>
        <v/>
      </c>
    </row>
    <row r="1429" spans="1:27" ht="15" customHeight="1" x14ac:dyDescent="0.25">
      <c r="A1429" s="85"/>
      <c r="B1429" s="217" t="str">
        <f>IF(A1429&lt;&gt;"",_xlfn.MAXIFS($B$1:B1428,$A$1:A1428,A1429)+1,"")</f>
        <v/>
      </c>
      <c r="C1429" s="50"/>
      <c r="D1429" s="50"/>
      <c r="E1429" s="50"/>
      <c r="F1429" s="50"/>
      <c r="G1429" s="280"/>
      <c r="H1429" s="293"/>
      <c r="I1429" s="292"/>
      <c r="J1429" s="292"/>
      <c r="K1429" s="200"/>
      <c r="L1429" s="200"/>
      <c r="M1429" s="89" t="str">
        <f>IFERROR(VLOOKUP(H1429,Lijsten!$H$1:$I$100,2,0),"")</f>
        <v/>
      </c>
      <c r="N1429" s="89" t="str" cm="1">
        <f t="array" ref="N1429">IFERROR(_xlfn.IFS(AND(LEFT(F1429,6)="Arbeid",RIGHT(F1429,3)&lt;&gt;"IKS"),IFERROR(VLOOKUP($G1429,Tb_KostenTypen[],2,0),"tarief"),RIGHT(F1429,3)="IKS","Uurtarief",LEFT(F1429,6)="Arbeid","Uurtarief",AND(LEFT(F1429,8)="Bijdrage",RIGHT(F1429,15)="(vrijwilligers)"),"Vast tarief"),"")</f>
        <v/>
      </c>
      <c r="O1429" s="90"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0"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1"/>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59"/>
      <c r="Z1429" s="49"/>
      <c r="AA1429" s="37" t="str" cm="1">
        <f t="array" ref="AA1429">IFERROR(IF(INDEX(SubsidieTabel!$Q$1:$T$9,MATCH($F1429,SubsidieTabel!$Q$1:$Q$9,0),IFERROR(MATCH(Methode_Keuze,SubsidieTabel!$Q$1:$T$1,0),2))&lt;&gt;1=TRUE,"ja",""),"")</f>
        <v/>
      </c>
    </row>
    <row r="1430" spans="1:27" ht="15" customHeight="1" x14ac:dyDescent="0.25">
      <c r="A1430" s="85"/>
      <c r="B1430" s="217" t="str">
        <f>IF(A1430&lt;&gt;"",_xlfn.MAXIFS($B$1:B1429,$A$1:A1429,A1430)+1,"")</f>
        <v/>
      </c>
      <c r="C1430" s="50"/>
      <c r="D1430" s="50"/>
      <c r="E1430" s="50"/>
      <c r="F1430" s="50"/>
      <c r="G1430" s="280"/>
      <c r="H1430" s="293"/>
      <c r="I1430" s="292"/>
      <c r="J1430" s="292"/>
      <c r="K1430" s="200"/>
      <c r="L1430" s="200"/>
      <c r="M1430" s="89" t="str">
        <f>IFERROR(VLOOKUP(H1430,Lijsten!$H$1:$I$100,2,0),"")</f>
        <v/>
      </c>
      <c r="N1430" s="89" t="str" cm="1">
        <f t="array" ref="N1430">IFERROR(_xlfn.IFS(AND(LEFT(F1430,6)="Arbeid",RIGHT(F1430,3)&lt;&gt;"IKS"),IFERROR(VLOOKUP($G1430,Tb_KostenTypen[],2,0),"tarief"),RIGHT(F1430,3)="IKS","Uurtarief",LEFT(F1430,6)="Arbeid","Uurtarief",AND(LEFT(F1430,8)="Bijdrage",RIGHT(F1430,15)="(vrijwilligers)"),"Vast tarief"),"")</f>
        <v/>
      </c>
      <c r="O1430" s="90"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0"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1"/>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59"/>
      <c r="Z1430" s="49"/>
      <c r="AA1430" s="37" t="str" cm="1">
        <f t="array" ref="AA1430">IFERROR(IF(INDEX(SubsidieTabel!$Q$1:$T$9,MATCH($F1430,SubsidieTabel!$Q$1:$Q$9,0),IFERROR(MATCH(Methode_Keuze,SubsidieTabel!$Q$1:$T$1,0),2))&lt;&gt;1=TRUE,"ja",""),"")</f>
        <v/>
      </c>
    </row>
    <row r="1431" spans="1:27" ht="15" customHeight="1" x14ac:dyDescent="0.25">
      <c r="A1431" s="85"/>
      <c r="B1431" s="217" t="str">
        <f>IF(A1431&lt;&gt;"",_xlfn.MAXIFS($B$1:B1430,$A$1:A1430,A1431)+1,"")</f>
        <v/>
      </c>
      <c r="C1431" s="50"/>
      <c r="D1431" s="50"/>
      <c r="E1431" s="50"/>
      <c r="F1431" s="50"/>
      <c r="G1431" s="280"/>
      <c r="H1431" s="293"/>
      <c r="I1431" s="292"/>
      <c r="J1431" s="292"/>
      <c r="K1431" s="200"/>
      <c r="L1431" s="200"/>
      <c r="M1431" s="89" t="str">
        <f>IFERROR(VLOOKUP(H1431,Lijsten!$H$1:$I$100,2,0),"")</f>
        <v/>
      </c>
      <c r="N1431" s="89" t="str" cm="1">
        <f t="array" ref="N1431">IFERROR(_xlfn.IFS(AND(LEFT(F1431,6)="Arbeid",RIGHT(F1431,3)&lt;&gt;"IKS"),IFERROR(VLOOKUP($G1431,Tb_KostenTypen[],2,0),"tarief"),RIGHT(F1431,3)="IKS","Uurtarief",LEFT(F1431,6)="Arbeid","Uurtarief",AND(LEFT(F1431,8)="Bijdrage",RIGHT(F1431,15)="(vrijwilligers)"),"Vast tarief"),"")</f>
        <v/>
      </c>
      <c r="O1431" s="90"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0"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1"/>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59"/>
      <c r="Z1431" s="49"/>
      <c r="AA1431" s="37" t="str" cm="1">
        <f t="array" ref="AA1431">IFERROR(IF(INDEX(SubsidieTabel!$Q$1:$T$9,MATCH($F1431,SubsidieTabel!$Q$1:$Q$9,0),IFERROR(MATCH(Methode_Keuze,SubsidieTabel!$Q$1:$T$1,0),2))&lt;&gt;1=TRUE,"ja",""),"")</f>
        <v/>
      </c>
    </row>
    <row r="1432" spans="1:27" ht="15" customHeight="1" x14ac:dyDescent="0.25">
      <c r="A1432" s="85"/>
      <c r="B1432" s="217" t="str">
        <f>IF(A1432&lt;&gt;"",_xlfn.MAXIFS($B$1:B1431,$A$1:A1431,A1432)+1,"")</f>
        <v/>
      </c>
      <c r="C1432" s="50"/>
      <c r="D1432" s="50"/>
      <c r="E1432" s="50"/>
      <c r="F1432" s="50"/>
      <c r="G1432" s="280"/>
      <c r="H1432" s="293"/>
      <c r="I1432" s="292"/>
      <c r="J1432" s="292"/>
      <c r="K1432" s="200"/>
      <c r="L1432" s="200"/>
      <c r="M1432" s="89" t="str">
        <f>IFERROR(VLOOKUP(H1432,Lijsten!$H$1:$I$100,2,0),"")</f>
        <v/>
      </c>
      <c r="N1432" s="89" t="str" cm="1">
        <f t="array" ref="N1432">IFERROR(_xlfn.IFS(AND(LEFT(F1432,6)="Arbeid",RIGHT(F1432,3)&lt;&gt;"IKS"),IFERROR(VLOOKUP($G1432,Tb_KostenTypen[],2,0),"tarief"),RIGHT(F1432,3)="IKS","Uurtarief",LEFT(F1432,6)="Arbeid","Uurtarief",AND(LEFT(F1432,8)="Bijdrage",RIGHT(F1432,15)="(vrijwilligers)"),"Vast tarief"),"")</f>
        <v/>
      </c>
      <c r="O1432" s="90"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0"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1"/>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59"/>
      <c r="Z1432" s="49"/>
      <c r="AA1432" s="37" t="str" cm="1">
        <f t="array" ref="AA1432">IFERROR(IF(INDEX(SubsidieTabel!$Q$1:$T$9,MATCH($F1432,SubsidieTabel!$Q$1:$Q$9,0),IFERROR(MATCH(Methode_Keuze,SubsidieTabel!$Q$1:$T$1,0),2))&lt;&gt;1=TRUE,"ja",""),"")</f>
        <v/>
      </c>
    </row>
    <row r="1433" spans="1:27" ht="15" customHeight="1" x14ac:dyDescent="0.25">
      <c r="A1433" s="85"/>
      <c r="B1433" s="217" t="str">
        <f>IF(A1433&lt;&gt;"",_xlfn.MAXIFS($B$1:B1432,$A$1:A1432,A1433)+1,"")</f>
        <v/>
      </c>
      <c r="C1433" s="50"/>
      <c r="D1433" s="50"/>
      <c r="E1433" s="50"/>
      <c r="F1433" s="50"/>
      <c r="G1433" s="280"/>
      <c r="H1433" s="293"/>
      <c r="I1433" s="292"/>
      <c r="J1433" s="292"/>
      <c r="K1433" s="200"/>
      <c r="L1433" s="200"/>
      <c r="M1433" s="89" t="str">
        <f>IFERROR(VLOOKUP(H1433,Lijsten!$H$1:$I$100,2,0),"")</f>
        <v/>
      </c>
      <c r="N1433" s="89" t="str" cm="1">
        <f t="array" ref="N1433">IFERROR(_xlfn.IFS(AND(LEFT(F1433,6)="Arbeid",RIGHT(F1433,3)&lt;&gt;"IKS"),IFERROR(VLOOKUP($G1433,Tb_KostenTypen[],2,0),"tarief"),RIGHT(F1433,3)="IKS","Uurtarief",LEFT(F1433,6)="Arbeid","Uurtarief",AND(LEFT(F1433,8)="Bijdrage",RIGHT(F1433,15)="(vrijwilligers)"),"Vast tarief"),"")</f>
        <v/>
      </c>
      <c r="O1433" s="90"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0"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1"/>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59"/>
      <c r="Z1433" s="49"/>
      <c r="AA1433" s="37" t="str" cm="1">
        <f t="array" ref="AA1433">IFERROR(IF(INDEX(SubsidieTabel!$Q$1:$T$9,MATCH($F1433,SubsidieTabel!$Q$1:$Q$9,0),IFERROR(MATCH(Methode_Keuze,SubsidieTabel!$Q$1:$T$1,0),2))&lt;&gt;1=TRUE,"ja",""),"")</f>
        <v/>
      </c>
    </row>
    <row r="1434" spans="1:27" ht="15" customHeight="1" x14ac:dyDescent="0.25">
      <c r="A1434" s="85"/>
      <c r="B1434" s="217" t="str">
        <f>IF(A1434&lt;&gt;"",_xlfn.MAXIFS($B$1:B1433,$A$1:A1433,A1434)+1,"")</f>
        <v/>
      </c>
      <c r="C1434" s="50"/>
      <c r="D1434" s="50"/>
      <c r="E1434" s="50"/>
      <c r="F1434" s="50"/>
      <c r="G1434" s="280"/>
      <c r="H1434" s="293"/>
      <c r="I1434" s="292"/>
      <c r="J1434" s="292"/>
      <c r="K1434" s="200"/>
      <c r="L1434" s="200"/>
      <c r="M1434" s="89" t="str">
        <f>IFERROR(VLOOKUP(H1434,Lijsten!$H$1:$I$100,2,0),"")</f>
        <v/>
      </c>
      <c r="N1434" s="89" t="str" cm="1">
        <f t="array" ref="N1434">IFERROR(_xlfn.IFS(AND(LEFT(F1434,6)="Arbeid",RIGHT(F1434,3)&lt;&gt;"IKS"),IFERROR(VLOOKUP($G1434,Tb_KostenTypen[],2,0),"tarief"),RIGHT(F1434,3)="IKS","Uurtarief",LEFT(F1434,6)="Arbeid","Uurtarief",AND(LEFT(F1434,8)="Bijdrage",RIGHT(F1434,15)="(vrijwilligers)"),"Vast tarief"),"")</f>
        <v/>
      </c>
      <c r="O1434" s="90"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0"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1"/>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59"/>
      <c r="Z1434" s="49"/>
      <c r="AA1434" s="37" t="str" cm="1">
        <f t="array" ref="AA1434">IFERROR(IF(INDEX(SubsidieTabel!$Q$1:$T$9,MATCH($F1434,SubsidieTabel!$Q$1:$Q$9,0),IFERROR(MATCH(Methode_Keuze,SubsidieTabel!$Q$1:$T$1,0),2))&lt;&gt;1=TRUE,"ja",""),"")</f>
        <v/>
      </c>
    </row>
    <row r="1435" spans="1:27" ht="15" customHeight="1" x14ac:dyDescent="0.25">
      <c r="A1435" s="85"/>
      <c r="B1435" s="217" t="str">
        <f>IF(A1435&lt;&gt;"",_xlfn.MAXIFS($B$1:B1434,$A$1:A1434,A1435)+1,"")</f>
        <v/>
      </c>
      <c r="C1435" s="50"/>
      <c r="D1435" s="50"/>
      <c r="E1435" s="50"/>
      <c r="F1435" s="50"/>
      <c r="G1435" s="280"/>
      <c r="H1435" s="293"/>
      <c r="I1435" s="292"/>
      <c r="J1435" s="292"/>
      <c r="K1435" s="200"/>
      <c r="L1435" s="200"/>
      <c r="M1435" s="89" t="str">
        <f>IFERROR(VLOOKUP(H1435,Lijsten!$H$1:$I$100,2,0),"")</f>
        <v/>
      </c>
      <c r="N1435" s="89" t="str" cm="1">
        <f t="array" ref="N1435">IFERROR(_xlfn.IFS(AND(LEFT(F1435,6)="Arbeid",RIGHT(F1435,3)&lt;&gt;"IKS"),IFERROR(VLOOKUP($G1435,Tb_KostenTypen[],2,0),"tarief"),RIGHT(F1435,3)="IKS","Uurtarief",LEFT(F1435,6)="Arbeid","Uurtarief",AND(LEFT(F1435,8)="Bijdrage",RIGHT(F1435,15)="(vrijwilligers)"),"Vast tarief"),"")</f>
        <v/>
      </c>
      <c r="O1435" s="90"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0"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1"/>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59"/>
      <c r="Z1435" s="49"/>
      <c r="AA1435" s="37" t="str" cm="1">
        <f t="array" ref="AA1435">IFERROR(IF(INDEX(SubsidieTabel!$Q$1:$T$9,MATCH($F1435,SubsidieTabel!$Q$1:$Q$9,0),IFERROR(MATCH(Methode_Keuze,SubsidieTabel!$Q$1:$T$1,0),2))&lt;&gt;1=TRUE,"ja",""),"")</f>
        <v/>
      </c>
    </row>
    <row r="1436" spans="1:27" ht="15" customHeight="1" x14ac:dyDescent="0.25">
      <c r="A1436" s="85"/>
      <c r="B1436" s="217" t="str">
        <f>IF(A1436&lt;&gt;"",_xlfn.MAXIFS($B$1:B1435,$A$1:A1435,A1436)+1,"")</f>
        <v/>
      </c>
      <c r="C1436" s="50"/>
      <c r="D1436" s="50"/>
      <c r="E1436" s="50"/>
      <c r="F1436" s="50"/>
      <c r="G1436" s="280"/>
      <c r="H1436" s="293"/>
      <c r="I1436" s="292"/>
      <c r="J1436" s="292"/>
      <c r="K1436" s="200"/>
      <c r="L1436" s="200"/>
      <c r="M1436" s="89" t="str">
        <f>IFERROR(VLOOKUP(H1436,Lijsten!$H$1:$I$100,2,0),"")</f>
        <v/>
      </c>
      <c r="N1436" s="89" t="str" cm="1">
        <f t="array" ref="N1436">IFERROR(_xlfn.IFS(AND(LEFT(F1436,6)="Arbeid",RIGHT(F1436,3)&lt;&gt;"IKS"),IFERROR(VLOOKUP($G1436,Tb_KostenTypen[],2,0),"tarief"),RIGHT(F1436,3)="IKS","Uurtarief",LEFT(F1436,6)="Arbeid","Uurtarief",AND(LEFT(F1436,8)="Bijdrage",RIGHT(F1436,15)="(vrijwilligers)"),"Vast tarief"),"")</f>
        <v/>
      </c>
      <c r="O1436" s="90"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0"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1"/>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59"/>
      <c r="Z1436" s="49"/>
      <c r="AA1436" s="37" t="str" cm="1">
        <f t="array" ref="AA1436">IFERROR(IF(INDEX(SubsidieTabel!$Q$1:$T$9,MATCH($F1436,SubsidieTabel!$Q$1:$Q$9,0),IFERROR(MATCH(Methode_Keuze,SubsidieTabel!$Q$1:$T$1,0),2))&lt;&gt;1=TRUE,"ja",""),"")</f>
        <v/>
      </c>
    </row>
    <row r="1437" spans="1:27" ht="15" customHeight="1" x14ac:dyDescent="0.25">
      <c r="A1437" s="85"/>
      <c r="B1437" s="217" t="str">
        <f>IF(A1437&lt;&gt;"",_xlfn.MAXIFS($B$1:B1436,$A$1:A1436,A1437)+1,"")</f>
        <v/>
      </c>
      <c r="C1437" s="50"/>
      <c r="D1437" s="50"/>
      <c r="E1437" s="50"/>
      <c r="F1437" s="50"/>
      <c r="G1437" s="280"/>
      <c r="H1437" s="293"/>
      <c r="I1437" s="292"/>
      <c r="J1437" s="292"/>
      <c r="K1437" s="200"/>
      <c r="L1437" s="200"/>
      <c r="M1437" s="89" t="str">
        <f>IFERROR(VLOOKUP(H1437,Lijsten!$H$1:$I$100,2,0),"")</f>
        <v/>
      </c>
      <c r="N1437" s="89" t="str" cm="1">
        <f t="array" ref="N1437">IFERROR(_xlfn.IFS(AND(LEFT(F1437,6)="Arbeid",RIGHT(F1437,3)&lt;&gt;"IKS"),IFERROR(VLOOKUP($G1437,Tb_KostenTypen[],2,0),"tarief"),RIGHT(F1437,3)="IKS","Uurtarief",LEFT(F1437,6)="Arbeid","Uurtarief",AND(LEFT(F1437,8)="Bijdrage",RIGHT(F1437,15)="(vrijwilligers)"),"Vast tarief"),"")</f>
        <v/>
      </c>
      <c r="O1437" s="90"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0"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1"/>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59"/>
      <c r="Z1437" s="49"/>
      <c r="AA1437" s="37" t="str" cm="1">
        <f t="array" ref="AA1437">IFERROR(IF(INDEX(SubsidieTabel!$Q$1:$T$9,MATCH($F1437,SubsidieTabel!$Q$1:$Q$9,0),IFERROR(MATCH(Methode_Keuze,SubsidieTabel!$Q$1:$T$1,0),2))&lt;&gt;1=TRUE,"ja",""),"")</f>
        <v/>
      </c>
    </row>
    <row r="1438" spans="1:27" ht="15" customHeight="1" x14ac:dyDescent="0.25">
      <c r="A1438" s="85"/>
      <c r="B1438" s="217" t="str">
        <f>IF(A1438&lt;&gt;"",_xlfn.MAXIFS($B$1:B1437,$A$1:A1437,A1438)+1,"")</f>
        <v/>
      </c>
      <c r="C1438" s="50"/>
      <c r="D1438" s="50"/>
      <c r="E1438" s="50"/>
      <c r="F1438" s="50"/>
      <c r="G1438" s="280"/>
      <c r="H1438" s="293"/>
      <c r="I1438" s="292"/>
      <c r="J1438" s="292"/>
      <c r="K1438" s="200"/>
      <c r="L1438" s="200"/>
      <c r="M1438" s="89" t="str">
        <f>IFERROR(VLOOKUP(H1438,Lijsten!$H$1:$I$100,2,0),"")</f>
        <v/>
      </c>
      <c r="N1438" s="89" t="str" cm="1">
        <f t="array" ref="N1438">IFERROR(_xlfn.IFS(AND(LEFT(F1438,6)="Arbeid",RIGHT(F1438,3)&lt;&gt;"IKS"),IFERROR(VLOOKUP($G1438,Tb_KostenTypen[],2,0),"tarief"),RIGHT(F1438,3)="IKS","Uurtarief",LEFT(F1438,6)="Arbeid","Uurtarief",AND(LEFT(F1438,8)="Bijdrage",RIGHT(F1438,15)="(vrijwilligers)"),"Vast tarief"),"")</f>
        <v/>
      </c>
      <c r="O1438" s="90"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0"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1"/>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59"/>
      <c r="Z1438" s="49"/>
      <c r="AA1438" s="37" t="str" cm="1">
        <f t="array" ref="AA1438">IFERROR(IF(INDEX(SubsidieTabel!$Q$1:$T$9,MATCH($F1438,SubsidieTabel!$Q$1:$Q$9,0),IFERROR(MATCH(Methode_Keuze,SubsidieTabel!$Q$1:$T$1,0),2))&lt;&gt;1=TRUE,"ja",""),"")</f>
        <v/>
      </c>
    </row>
    <row r="1439" spans="1:27" ht="15" customHeight="1" x14ac:dyDescent="0.25">
      <c r="A1439" s="85"/>
      <c r="B1439" s="217" t="str">
        <f>IF(A1439&lt;&gt;"",_xlfn.MAXIFS($B$1:B1438,$A$1:A1438,A1439)+1,"")</f>
        <v/>
      </c>
      <c r="C1439" s="50"/>
      <c r="D1439" s="50"/>
      <c r="E1439" s="50"/>
      <c r="F1439" s="50"/>
      <c r="G1439" s="280"/>
      <c r="H1439" s="293"/>
      <c r="I1439" s="292"/>
      <c r="J1439" s="292"/>
      <c r="K1439" s="200"/>
      <c r="L1439" s="200"/>
      <c r="M1439" s="89" t="str">
        <f>IFERROR(VLOOKUP(H1439,Lijsten!$H$1:$I$100,2,0),"")</f>
        <v/>
      </c>
      <c r="N1439" s="89" t="str" cm="1">
        <f t="array" ref="N1439">IFERROR(_xlfn.IFS(AND(LEFT(F1439,6)="Arbeid",RIGHT(F1439,3)&lt;&gt;"IKS"),IFERROR(VLOOKUP($G1439,Tb_KostenTypen[],2,0),"tarief"),RIGHT(F1439,3)="IKS","Uurtarief",LEFT(F1439,6)="Arbeid","Uurtarief",AND(LEFT(F1439,8)="Bijdrage",RIGHT(F1439,15)="(vrijwilligers)"),"Vast tarief"),"")</f>
        <v/>
      </c>
      <c r="O1439" s="90"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0"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1"/>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59"/>
      <c r="Z1439" s="49"/>
      <c r="AA1439" s="37" t="str" cm="1">
        <f t="array" ref="AA1439">IFERROR(IF(INDEX(SubsidieTabel!$Q$1:$T$9,MATCH($F1439,SubsidieTabel!$Q$1:$Q$9,0),IFERROR(MATCH(Methode_Keuze,SubsidieTabel!$Q$1:$T$1,0),2))&lt;&gt;1=TRUE,"ja",""),"")</f>
        <v/>
      </c>
    </row>
    <row r="1440" spans="1:27" ht="15" customHeight="1" x14ac:dyDescent="0.25">
      <c r="A1440" s="85"/>
      <c r="B1440" s="217" t="str">
        <f>IF(A1440&lt;&gt;"",_xlfn.MAXIFS($B$1:B1439,$A$1:A1439,A1440)+1,"")</f>
        <v/>
      </c>
      <c r="C1440" s="50"/>
      <c r="D1440" s="50"/>
      <c r="E1440" s="50"/>
      <c r="F1440" s="50"/>
      <c r="G1440" s="280"/>
      <c r="H1440" s="293"/>
      <c r="I1440" s="292"/>
      <c r="J1440" s="292"/>
      <c r="K1440" s="200"/>
      <c r="L1440" s="200"/>
      <c r="M1440" s="89" t="str">
        <f>IFERROR(VLOOKUP(H1440,Lijsten!$H$1:$I$100,2,0),"")</f>
        <v/>
      </c>
      <c r="N1440" s="89" t="str" cm="1">
        <f t="array" ref="N1440">IFERROR(_xlfn.IFS(AND(LEFT(F1440,6)="Arbeid",RIGHT(F1440,3)&lt;&gt;"IKS"),IFERROR(VLOOKUP($G1440,Tb_KostenTypen[],2,0),"tarief"),RIGHT(F1440,3)="IKS","Uurtarief",LEFT(F1440,6)="Arbeid","Uurtarief",AND(LEFT(F1440,8)="Bijdrage",RIGHT(F1440,15)="(vrijwilligers)"),"Vast tarief"),"")</f>
        <v/>
      </c>
      <c r="O1440" s="90"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0"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1"/>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59"/>
      <c r="Z1440" s="49"/>
      <c r="AA1440" s="37" t="str" cm="1">
        <f t="array" ref="AA1440">IFERROR(IF(INDEX(SubsidieTabel!$Q$1:$T$9,MATCH($F1440,SubsidieTabel!$Q$1:$Q$9,0),IFERROR(MATCH(Methode_Keuze,SubsidieTabel!$Q$1:$T$1,0),2))&lt;&gt;1=TRUE,"ja",""),"")</f>
        <v/>
      </c>
    </row>
    <row r="1441" spans="1:27" ht="15" customHeight="1" x14ac:dyDescent="0.25">
      <c r="A1441" s="85"/>
      <c r="B1441" s="217" t="str">
        <f>IF(A1441&lt;&gt;"",_xlfn.MAXIFS($B$1:B1440,$A$1:A1440,A1441)+1,"")</f>
        <v/>
      </c>
      <c r="C1441" s="50"/>
      <c r="D1441" s="50"/>
      <c r="E1441" s="50"/>
      <c r="F1441" s="50"/>
      <c r="G1441" s="280"/>
      <c r="H1441" s="293"/>
      <c r="I1441" s="292"/>
      <c r="J1441" s="292"/>
      <c r="K1441" s="200"/>
      <c r="L1441" s="200"/>
      <c r="M1441" s="89" t="str">
        <f>IFERROR(VLOOKUP(H1441,Lijsten!$H$1:$I$100,2,0),"")</f>
        <v/>
      </c>
      <c r="N1441" s="89" t="str" cm="1">
        <f t="array" ref="N1441">IFERROR(_xlfn.IFS(AND(LEFT(F1441,6)="Arbeid",RIGHT(F1441,3)&lt;&gt;"IKS"),IFERROR(VLOOKUP($G1441,Tb_KostenTypen[],2,0),"tarief"),RIGHT(F1441,3)="IKS","Uurtarief",LEFT(F1441,6)="Arbeid","Uurtarief",AND(LEFT(F1441,8)="Bijdrage",RIGHT(F1441,15)="(vrijwilligers)"),"Vast tarief"),"")</f>
        <v/>
      </c>
      <c r="O1441" s="90"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0"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1"/>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59"/>
      <c r="Z1441" s="49"/>
      <c r="AA1441" s="37" t="str" cm="1">
        <f t="array" ref="AA1441">IFERROR(IF(INDEX(SubsidieTabel!$Q$1:$T$9,MATCH($F1441,SubsidieTabel!$Q$1:$Q$9,0),IFERROR(MATCH(Methode_Keuze,SubsidieTabel!$Q$1:$T$1,0),2))&lt;&gt;1=TRUE,"ja",""),"")</f>
        <v/>
      </c>
    </row>
    <row r="1442" spans="1:27" ht="15" customHeight="1" x14ac:dyDescent="0.25">
      <c r="A1442" s="85"/>
      <c r="B1442" s="217" t="str">
        <f>IF(A1442&lt;&gt;"",_xlfn.MAXIFS($B$1:B1441,$A$1:A1441,A1442)+1,"")</f>
        <v/>
      </c>
      <c r="C1442" s="50"/>
      <c r="D1442" s="50"/>
      <c r="E1442" s="50"/>
      <c r="F1442" s="50"/>
      <c r="G1442" s="280"/>
      <c r="H1442" s="293"/>
      <c r="I1442" s="292"/>
      <c r="J1442" s="292"/>
      <c r="K1442" s="200"/>
      <c r="L1442" s="200"/>
      <c r="M1442" s="89" t="str">
        <f>IFERROR(VLOOKUP(H1442,Lijsten!$H$1:$I$100,2,0),"")</f>
        <v/>
      </c>
      <c r="N1442" s="89" t="str" cm="1">
        <f t="array" ref="N1442">IFERROR(_xlfn.IFS(AND(LEFT(F1442,6)="Arbeid",RIGHT(F1442,3)&lt;&gt;"IKS"),IFERROR(VLOOKUP($G1442,Tb_KostenTypen[],2,0),"tarief"),RIGHT(F1442,3)="IKS","Uurtarief",LEFT(F1442,6)="Arbeid","Uurtarief",AND(LEFT(F1442,8)="Bijdrage",RIGHT(F1442,15)="(vrijwilligers)"),"Vast tarief"),"")</f>
        <v/>
      </c>
      <c r="O1442" s="90"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0"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1"/>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59"/>
      <c r="Z1442" s="49"/>
      <c r="AA1442" s="37" t="str" cm="1">
        <f t="array" ref="AA1442">IFERROR(IF(INDEX(SubsidieTabel!$Q$1:$T$9,MATCH($F1442,SubsidieTabel!$Q$1:$Q$9,0),IFERROR(MATCH(Methode_Keuze,SubsidieTabel!$Q$1:$T$1,0),2))&lt;&gt;1=TRUE,"ja",""),"")</f>
        <v/>
      </c>
    </row>
    <row r="1443" spans="1:27" ht="15" customHeight="1" x14ac:dyDescent="0.25">
      <c r="A1443" s="85"/>
      <c r="B1443" s="217" t="str">
        <f>IF(A1443&lt;&gt;"",_xlfn.MAXIFS($B$1:B1442,$A$1:A1442,A1443)+1,"")</f>
        <v/>
      </c>
      <c r="C1443" s="50"/>
      <c r="D1443" s="50"/>
      <c r="E1443" s="50"/>
      <c r="F1443" s="50"/>
      <c r="G1443" s="280"/>
      <c r="H1443" s="293"/>
      <c r="I1443" s="292"/>
      <c r="J1443" s="292"/>
      <c r="K1443" s="200"/>
      <c r="L1443" s="200"/>
      <c r="M1443" s="89" t="str">
        <f>IFERROR(VLOOKUP(H1443,Lijsten!$H$1:$I$100,2,0),"")</f>
        <v/>
      </c>
      <c r="N1443" s="89" t="str" cm="1">
        <f t="array" ref="N1443">IFERROR(_xlfn.IFS(AND(LEFT(F1443,6)="Arbeid",RIGHT(F1443,3)&lt;&gt;"IKS"),IFERROR(VLOOKUP($G1443,Tb_KostenTypen[],2,0),"tarief"),RIGHT(F1443,3)="IKS","Uurtarief",LEFT(F1443,6)="Arbeid","Uurtarief",AND(LEFT(F1443,8)="Bijdrage",RIGHT(F1443,15)="(vrijwilligers)"),"Vast tarief"),"")</f>
        <v/>
      </c>
      <c r="O1443" s="90"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0"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1"/>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59"/>
      <c r="Z1443" s="49"/>
      <c r="AA1443" s="37" t="str" cm="1">
        <f t="array" ref="AA1443">IFERROR(IF(INDEX(SubsidieTabel!$Q$1:$T$9,MATCH($F1443,SubsidieTabel!$Q$1:$Q$9,0),IFERROR(MATCH(Methode_Keuze,SubsidieTabel!$Q$1:$T$1,0),2))&lt;&gt;1=TRUE,"ja",""),"")</f>
        <v/>
      </c>
    </row>
    <row r="1444" spans="1:27" ht="15" customHeight="1" x14ac:dyDescent="0.25">
      <c r="A1444" s="85"/>
      <c r="B1444" s="217" t="str">
        <f>IF(A1444&lt;&gt;"",_xlfn.MAXIFS($B$1:B1443,$A$1:A1443,A1444)+1,"")</f>
        <v/>
      </c>
      <c r="C1444" s="50"/>
      <c r="D1444" s="50"/>
      <c r="E1444" s="50"/>
      <c r="F1444" s="50"/>
      <c r="G1444" s="280"/>
      <c r="H1444" s="293"/>
      <c r="I1444" s="292"/>
      <c r="J1444" s="292"/>
      <c r="K1444" s="200"/>
      <c r="L1444" s="200"/>
      <c r="M1444" s="89" t="str">
        <f>IFERROR(VLOOKUP(H1444,Lijsten!$H$1:$I$100,2,0),"")</f>
        <v/>
      </c>
      <c r="N1444" s="89" t="str" cm="1">
        <f t="array" ref="N1444">IFERROR(_xlfn.IFS(AND(LEFT(F1444,6)="Arbeid",RIGHT(F1444,3)&lt;&gt;"IKS"),IFERROR(VLOOKUP($G1444,Tb_KostenTypen[],2,0),"tarief"),RIGHT(F1444,3)="IKS","Uurtarief",LEFT(F1444,6)="Arbeid","Uurtarief",AND(LEFT(F1444,8)="Bijdrage",RIGHT(F1444,15)="(vrijwilligers)"),"Vast tarief"),"")</f>
        <v/>
      </c>
      <c r="O1444" s="90"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0"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1"/>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59"/>
      <c r="Z1444" s="49"/>
      <c r="AA1444" s="37" t="str" cm="1">
        <f t="array" ref="AA1444">IFERROR(IF(INDEX(SubsidieTabel!$Q$1:$T$9,MATCH($F1444,SubsidieTabel!$Q$1:$Q$9,0),IFERROR(MATCH(Methode_Keuze,SubsidieTabel!$Q$1:$T$1,0),2))&lt;&gt;1=TRUE,"ja",""),"")</f>
        <v/>
      </c>
    </row>
    <row r="1445" spans="1:27" ht="15" customHeight="1" x14ac:dyDescent="0.25">
      <c r="A1445" s="85"/>
      <c r="B1445" s="217" t="str">
        <f>IF(A1445&lt;&gt;"",_xlfn.MAXIFS($B$1:B1444,$A$1:A1444,A1445)+1,"")</f>
        <v/>
      </c>
      <c r="C1445" s="50"/>
      <c r="D1445" s="50"/>
      <c r="E1445" s="50"/>
      <c r="F1445" s="50"/>
      <c r="G1445" s="280"/>
      <c r="H1445" s="293"/>
      <c r="I1445" s="292"/>
      <c r="J1445" s="292"/>
      <c r="K1445" s="200"/>
      <c r="L1445" s="200"/>
      <c r="M1445" s="89" t="str">
        <f>IFERROR(VLOOKUP(H1445,Lijsten!$H$1:$I$100,2,0),"")</f>
        <v/>
      </c>
      <c r="N1445" s="89" t="str" cm="1">
        <f t="array" ref="N1445">IFERROR(_xlfn.IFS(AND(LEFT(F1445,6)="Arbeid",RIGHT(F1445,3)&lt;&gt;"IKS"),IFERROR(VLOOKUP($G1445,Tb_KostenTypen[],2,0),"tarief"),RIGHT(F1445,3)="IKS","Uurtarief",LEFT(F1445,6)="Arbeid","Uurtarief",AND(LEFT(F1445,8)="Bijdrage",RIGHT(F1445,15)="(vrijwilligers)"),"Vast tarief"),"")</f>
        <v/>
      </c>
      <c r="O1445" s="90"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0"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1"/>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59"/>
      <c r="Z1445" s="49"/>
      <c r="AA1445" s="37" t="str" cm="1">
        <f t="array" ref="AA1445">IFERROR(IF(INDEX(SubsidieTabel!$Q$1:$T$9,MATCH($F1445,SubsidieTabel!$Q$1:$Q$9,0),IFERROR(MATCH(Methode_Keuze,SubsidieTabel!$Q$1:$T$1,0),2))&lt;&gt;1=TRUE,"ja",""),"")</f>
        <v/>
      </c>
    </row>
    <row r="1446" spans="1:27" ht="15" customHeight="1" x14ac:dyDescent="0.25">
      <c r="A1446" s="85"/>
      <c r="B1446" s="217" t="str">
        <f>IF(A1446&lt;&gt;"",_xlfn.MAXIFS($B$1:B1445,$A$1:A1445,A1446)+1,"")</f>
        <v/>
      </c>
      <c r="C1446" s="50"/>
      <c r="D1446" s="50"/>
      <c r="E1446" s="50"/>
      <c r="F1446" s="50"/>
      <c r="G1446" s="280"/>
      <c r="H1446" s="293"/>
      <c r="I1446" s="292"/>
      <c r="J1446" s="292"/>
      <c r="K1446" s="200"/>
      <c r="L1446" s="200"/>
      <c r="M1446" s="89" t="str">
        <f>IFERROR(VLOOKUP(H1446,Lijsten!$H$1:$I$100,2,0),"")</f>
        <v/>
      </c>
      <c r="N1446" s="89" t="str" cm="1">
        <f t="array" ref="N1446">IFERROR(_xlfn.IFS(AND(LEFT(F1446,6)="Arbeid",RIGHT(F1446,3)&lt;&gt;"IKS"),IFERROR(VLOOKUP($G1446,Tb_KostenTypen[],2,0),"tarief"),RIGHT(F1446,3)="IKS","Uurtarief",LEFT(F1446,6)="Arbeid","Uurtarief",AND(LEFT(F1446,8)="Bijdrage",RIGHT(F1446,15)="(vrijwilligers)"),"Vast tarief"),"")</f>
        <v/>
      </c>
      <c r="O1446" s="90"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0"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1"/>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59"/>
      <c r="Z1446" s="49"/>
      <c r="AA1446" s="37" t="str" cm="1">
        <f t="array" ref="AA1446">IFERROR(IF(INDEX(SubsidieTabel!$Q$1:$T$9,MATCH($F1446,SubsidieTabel!$Q$1:$Q$9,0),IFERROR(MATCH(Methode_Keuze,SubsidieTabel!$Q$1:$T$1,0),2))&lt;&gt;1=TRUE,"ja",""),"")</f>
        <v/>
      </c>
    </row>
    <row r="1447" spans="1:27" ht="15" customHeight="1" x14ac:dyDescent="0.25">
      <c r="A1447" s="85"/>
      <c r="B1447" s="217" t="str">
        <f>IF(A1447&lt;&gt;"",_xlfn.MAXIFS($B$1:B1446,$A$1:A1446,A1447)+1,"")</f>
        <v/>
      </c>
      <c r="C1447" s="50"/>
      <c r="D1447" s="50"/>
      <c r="E1447" s="50"/>
      <c r="F1447" s="50"/>
      <c r="G1447" s="280"/>
      <c r="H1447" s="293"/>
      <c r="I1447" s="292"/>
      <c r="J1447" s="292"/>
      <c r="K1447" s="200"/>
      <c r="L1447" s="200"/>
      <c r="M1447" s="89" t="str">
        <f>IFERROR(VLOOKUP(H1447,Lijsten!$H$1:$I$100,2,0),"")</f>
        <v/>
      </c>
      <c r="N1447" s="89" t="str" cm="1">
        <f t="array" ref="N1447">IFERROR(_xlfn.IFS(AND(LEFT(F1447,6)="Arbeid",RIGHT(F1447,3)&lt;&gt;"IKS"),IFERROR(VLOOKUP($G1447,Tb_KostenTypen[],2,0),"tarief"),RIGHT(F1447,3)="IKS","Uurtarief",LEFT(F1447,6)="Arbeid","Uurtarief",AND(LEFT(F1447,8)="Bijdrage",RIGHT(F1447,15)="(vrijwilligers)"),"Vast tarief"),"")</f>
        <v/>
      </c>
      <c r="O1447" s="90"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0"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1"/>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59"/>
      <c r="Z1447" s="49"/>
      <c r="AA1447" s="37" t="str" cm="1">
        <f t="array" ref="AA1447">IFERROR(IF(INDEX(SubsidieTabel!$Q$1:$T$9,MATCH($F1447,SubsidieTabel!$Q$1:$Q$9,0),IFERROR(MATCH(Methode_Keuze,SubsidieTabel!$Q$1:$T$1,0),2))&lt;&gt;1=TRUE,"ja",""),"")</f>
        <v/>
      </c>
    </row>
    <row r="1448" spans="1:27" ht="15" customHeight="1" x14ac:dyDescent="0.25">
      <c r="A1448" s="85"/>
      <c r="B1448" s="217" t="str">
        <f>IF(A1448&lt;&gt;"",_xlfn.MAXIFS($B$1:B1447,$A$1:A1447,A1448)+1,"")</f>
        <v/>
      </c>
      <c r="C1448" s="50"/>
      <c r="D1448" s="50"/>
      <c r="E1448" s="50"/>
      <c r="F1448" s="50"/>
      <c r="G1448" s="280"/>
      <c r="H1448" s="293"/>
      <c r="I1448" s="292"/>
      <c r="J1448" s="292"/>
      <c r="K1448" s="200"/>
      <c r="L1448" s="200"/>
      <c r="M1448" s="89" t="str">
        <f>IFERROR(VLOOKUP(H1448,Lijsten!$H$1:$I$100,2,0),"")</f>
        <v/>
      </c>
      <c r="N1448" s="89" t="str" cm="1">
        <f t="array" ref="N1448">IFERROR(_xlfn.IFS(AND(LEFT(F1448,6)="Arbeid",RIGHT(F1448,3)&lt;&gt;"IKS"),IFERROR(VLOOKUP($G1448,Tb_KostenTypen[],2,0),"tarief"),RIGHT(F1448,3)="IKS","Uurtarief",LEFT(F1448,6)="Arbeid","Uurtarief",AND(LEFT(F1448,8)="Bijdrage",RIGHT(F1448,15)="(vrijwilligers)"),"Vast tarief"),"")</f>
        <v/>
      </c>
      <c r="O1448" s="90"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0"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1"/>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59"/>
      <c r="Z1448" s="49"/>
      <c r="AA1448" s="37" t="str" cm="1">
        <f t="array" ref="AA1448">IFERROR(IF(INDEX(SubsidieTabel!$Q$1:$T$9,MATCH($F1448,SubsidieTabel!$Q$1:$Q$9,0),IFERROR(MATCH(Methode_Keuze,SubsidieTabel!$Q$1:$T$1,0),2))&lt;&gt;1=TRUE,"ja",""),"")</f>
        <v/>
      </c>
    </row>
    <row r="1449" spans="1:27" ht="15" customHeight="1" x14ac:dyDescent="0.25">
      <c r="A1449" s="85"/>
      <c r="B1449" s="217" t="str">
        <f>IF(A1449&lt;&gt;"",_xlfn.MAXIFS($B$1:B1448,$A$1:A1448,A1449)+1,"")</f>
        <v/>
      </c>
      <c r="C1449" s="50"/>
      <c r="D1449" s="50"/>
      <c r="E1449" s="50"/>
      <c r="F1449" s="50"/>
      <c r="G1449" s="280"/>
      <c r="H1449" s="293"/>
      <c r="I1449" s="292"/>
      <c r="J1449" s="292"/>
      <c r="K1449" s="200"/>
      <c r="L1449" s="200"/>
      <c r="M1449" s="89" t="str">
        <f>IFERROR(VLOOKUP(H1449,Lijsten!$H$1:$I$100,2,0),"")</f>
        <v/>
      </c>
      <c r="N1449" s="89" t="str" cm="1">
        <f t="array" ref="N1449">IFERROR(_xlfn.IFS(AND(LEFT(F1449,6)="Arbeid",RIGHT(F1449,3)&lt;&gt;"IKS"),IFERROR(VLOOKUP($G1449,Tb_KostenTypen[],2,0),"tarief"),RIGHT(F1449,3)="IKS","Uurtarief",LEFT(F1449,6)="Arbeid","Uurtarief",AND(LEFT(F1449,8)="Bijdrage",RIGHT(F1449,15)="(vrijwilligers)"),"Vast tarief"),"")</f>
        <v/>
      </c>
      <c r="O1449" s="90"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0"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1"/>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59"/>
      <c r="Z1449" s="49"/>
      <c r="AA1449" s="37" t="str" cm="1">
        <f t="array" ref="AA1449">IFERROR(IF(INDEX(SubsidieTabel!$Q$1:$T$9,MATCH($F1449,SubsidieTabel!$Q$1:$Q$9,0),IFERROR(MATCH(Methode_Keuze,SubsidieTabel!$Q$1:$T$1,0),2))&lt;&gt;1=TRUE,"ja",""),"")</f>
        <v/>
      </c>
    </row>
    <row r="1450" spans="1:27" ht="15" customHeight="1" x14ac:dyDescent="0.25">
      <c r="A1450" s="85"/>
      <c r="B1450" s="217" t="str">
        <f>IF(A1450&lt;&gt;"",_xlfn.MAXIFS($B$1:B1449,$A$1:A1449,A1450)+1,"")</f>
        <v/>
      </c>
      <c r="C1450" s="50"/>
      <c r="D1450" s="50"/>
      <c r="E1450" s="50"/>
      <c r="F1450" s="50"/>
      <c r="G1450" s="280"/>
      <c r="H1450" s="293"/>
      <c r="I1450" s="292"/>
      <c r="J1450" s="292"/>
      <c r="K1450" s="200"/>
      <c r="L1450" s="200"/>
      <c r="M1450" s="89" t="str">
        <f>IFERROR(VLOOKUP(H1450,Lijsten!$H$1:$I$100,2,0),"")</f>
        <v/>
      </c>
      <c r="N1450" s="89" t="str" cm="1">
        <f t="array" ref="N1450">IFERROR(_xlfn.IFS(AND(LEFT(F1450,6)="Arbeid",RIGHT(F1450,3)&lt;&gt;"IKS"),IFERROR(VLOOKUP($G1450,Tb_KostenTypen[],2,0),"tarief"),RIGHT(F1450,3)="IKS","Uurtarief",LEFT(F1450,6)="Arbeid","Uurtarief",AND(LEFT(F1450,8)="Bijdrage",RIGHT(F1450,15)="(vrijwilligers)"),"Vast tarief"),"")</f>
        <v/>
      </c>
      <c r="O1450" s="90"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0"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1"/>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59"/>
      <c r="Z1450" s="49"/>
      <c r="AA1450" s="37" t="str" cm="1">
        <f t="array" ref="AA1450">IFERROR(IF(INDEX(SubsidieTabel!$Q$1:$T$9,MATCH($F1450,SubsidieTabel!$Q$1:$Q$9,0),IFERROR(MATCH(Methode_Keuze,SubsidieTabel!$Q$1:$T$1,0),2))&lt;&gt;1=TRUE,"ja",""),"")</f>
        <v/>
      </c>
    </row>
    <row r="1451" spans="1:27" ht="15" customHeight="1" x14ac:dyDescent="0.25">
      <c r="A1451" s="85"/>
      <c r="B1451" s="217" t="str">
        <f>IF(A1451&lt;&gt;"",_xlfn.MAXIFS($B$1:B1450,$A$1:A1450,A1451)+1,"")</f>
        <v/>
      </c>
      <c r="C1451" s="50"/>
      <c r="D1451" s="50"/>
      <c r="E1451" s="50"/>
      <c r="F1451" s="50"/>
      <c r="G1451" s="280"/>
      <c r="H1451" s="293"/>
      <c r="I1451" s="292"/>
      <c r="J1451" s="292"/>
      <c r="K1451" s="200"/>
      <c r="L1451" s="200"/>
      <c r="M1451" s="89" t="str">
        <f>IFERROR(VLOOKUP(H1451,Lijsten!$H$1:$I$100,2,0),"")</f>
        <v/>
      </c>
      <c r="N1451" s="89" t="str" cm="1">
        <f t="array" ref="N1451">IFERROR(_xlfn.IFS(AND(LEFT(F1451,6)="Arbeid",RIGHT(F1451,3)&lt;&gt;"IKS"),IFERROR(VLOOKUP($G1451,Tb_KostenTypen[],2,0),"tarief"),RIGHT(F1451,3)="IKS","Uurtarief",LEFT(F1451,6)="Arbeid","Uurtarief",AND(LEFT(F1451,8)="Bijdrage",RIGHT(F1451,15)="(vrijwilligers)"),"Vast tarief"),"")</f>
        <v/>
      </c>
      <c r="O1451" s="90"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0"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1"/>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59"/>
      <c r="Z1451" s="49"/>
      <c r="AA1451" s="37" t="str" cm="1">
        <f t="array" ref="AA1451">IFERROR(IF(INDEX(SubsidieTabel!$Q$1:$T$9,MATCH($F1451,SubsidieTabel!$Q$1:$Q$9,0),IFERROR(MATCH(Methode_Keuze,SubsidieTabel!$Q$1:$T$1,0),2))&lt;&gt;1=TRUE,"ja",""),"")</f>
        <v/>
      </c>
    </row>
    <row r="1452" spans="1:27" ht="15" customHeight="1" x14ac:dyDescent="0.25">
      <c r="A1452" s="85"/>
      <c r="B1452" s="217" t="str">
        <f>IF(A1452&lt;&gt;"",_xlfn.MAXIFS($B$1:B1451,$A$1:A1451,A1452)+1,"")</f>
        <v/>
      </c>
      <c r="C1452" s="50"/>
      <c r="D1452" s="50"/>
      <c r="E1452" s="50"/>
      <c r="F1452" s="50"/>
      <c r="G1452" s="280"/>
      <c r="H1452" s="293"/>
      <c r="I1452" s="292"/>
      <c r="J1452" s="292"/>
      <c r="K1452" s="200"/>
      <c r="L1452" s="200"/>
      <c r="M1452" s="89" t="str">
        <f>IFERROR(VLOOKUP(H1452,Lijsten!$H$1:$I$100,2,0),"")</f>
        <v/>
      </c>
      <c r="N1452" s="89" t="str" cm="1">
        <f t="array" ref="N1452">IFERROR(_xlfn.IFS(AND(LEFT(F1452,6)="Arbeid",RIGHT(F1452,3)&lt;&gt;"IKS"),IFERROR(VLOOKUP($G1452,Tb_KostenTypen[],2,0),"tarief"),RIGHT(F1452,3)="IKS","Uurtarief",LEFT(F1452,6)="Arbeid","Uurtarief",AND(LEFT(F1452,8)="Bijdrage",RIGHT(F1452,15)="(vrijwilligers)"),"Vast tarief"),"")</f>
        <v/>
      </c>
      <c r="O1452" s="90"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0"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1"/>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59"/>
      <c r="Z1452" s="49"/>
      <c r="AA1452" s="37" t="str" cm="1">
        <f t="array" ref="AA1452">IFERROR(IF(INDEX(SubsidieTabel!$Q$1:$T$9,MATCH($F1452,SubsidieTabel!$Q$1:$Q$9,0),IFERROR(MATCH(Methode_Keuze,SubsidieTabel!$Q$1:$T$1,0),2))&lt;&gt;1=TRUE,"ja",""),"")</f>
        <v/>
      </c>
    </row>
    <row r="1453" spans="1:27" ht="15" customHeight="1" x14ac:dyDescent="0.25">
      <c r="A1453" s="85"/>
      <c r="B1453" s="217" t="str">
        <f>IF(A1453&lt;&gt;"",_xlfn.MAXIFS($B$1:B1452,$A$1:A1452,A1453)+1,"")</f>
        <v/>
      </c>
      <c r="C1453" s="50"/>
      <c r="D1453" s="50"/>
      <c r="E1453" s="50"/>
      <c r="F1453" s="50"/>
      <c r="G1453" s="280"/>
      <c r="H1453" s="293"/>
      <c r="I1453" s="292"/>
      <c r="J1453" s="292"/>
      <c r="K1453" s="200"/>
      <c r="L1453" s="200"/>
      <c r="M1453" s="89" t="str">
        <f>IFERROR(VLOOKUP(H1453,Lijsten!$H$1:$I$100,2,0),"")</f>
        <v/>
      </c>
      <c r="N1453" s="89" t="str" cm="1">
        <f t="array" ref="N1453">IFERROR(_xlfn.IFS(AND(LEFT(F1453,6)="Arbeid",RIGHT(F1453,3)&lt;&gt;"IKS"),IFERROR(VLOOKUP($G1453,Tb_KostenTypen[],2,0),"tarief"),RIGHT(F1453,3)="IKS","Uurtarief",LEFT(F1453,6)="Arbeid","Uurtarief",AND(LEFT(F1453,8)="Bijdrage",RIGHT(F1453,15)="(vrijwilligers)"),"Vast tarief"),"")</f>
        <v/>
      </c>
      <c r="O1453" s="90"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0"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1"/>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59"/>
      <c r="Z1453" s="49"/>
      <c r="AA1453" s="37" t="str" cm="1">
        <f t="array" ref="AA1453">IFERROR(IF(INDEX(SubsidieTabel!$Q$1:$T$9,MATCH($F1453,SubsidieTabel!$Q$1:$Q$9,0),IFERROR(MATCH(Methode_Keuze,SubsidieTabel!$Q$1:$T$1,0),2))&lt;&gt;1=TRUE,"ja",""),"")</f>
        <v/>
      </c>
    </row>
    <row r="1454" spans="1:27" ht="15" customHeight="1" x14ac:dyDescent="0.25">
      <c r="A1454" s="85"/>
      <c r="B1454" s="217" t="str">
        <f>IF(A1454&lt;&gt;"",_xlfn.MAXIFS($B$1:B1453,$A$1:A1453,A1454)+1,"")</f>
        <v/>
      </c>
      <c r="C1454" s="50"/>
      <c r="D1454" s="50"/>
      <c r="E1454" s="50"/>
      <c r="F1454" s="50"/>
      <c r="G1454" s="280"/>
      <c r="H1454" s="293"/>
      <c r="I1454" s="292"/>
      <c r="J1454" s="292"/>
      <c r="K1454" s="200"/>
      <c r="L1454" s="200"/>
      <c r="M1454" s="89" t="str">
        <f>IFERROR(VLOOKUP(H1454,Lijsten!$H$1:$I$100,2,0),"")</f>
        <v/>
      </c>
      <c r="N1454" s="89" t="str" cm="1">
        <f t="array" ref="N1454">IFERROR(_xlfn.IFS(AND(LEFT(F1454,6)="Arbeid",RIGHT(F1454,3)&lt;&gt;"IKS"),IFERROR(VLOOKUP($G1454,Tb_KostenTypen[],2,0),"tarief"),RIGHT(F1454,3)="IKS","Uurtarief",LEFT(F1454,6)="Arbeid","Uurtarief",AND(LEFT(F1454,8)="Bijdrage",RIGHT(F1454,15)="(vrijwilligers)"),"Vast tarief"),"")</f>
        <v/>
      </c>
      <c r="O1454" s="90"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0"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1"/>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59"/>
      <c r="Z1454" s="49"/>
      <c r="AA1454" s="37" t="str" cm="1">
        <f t="array" ref="AA1454">IFERROR(IF(INDEX(SubsidieTabel!$Q$1:$T$9,MATCH($F1454,SubsidieTabel!$Q$1:$Q$9,0),IFERROR(MATCH(Methode_Keuze,SubsidieTabel!$Q$1:$T$1,0),2))&lt;&gt;1=TRUE,"ja",""),"")</f>
        <v/>
      </c>
    </row>
    <row r="1455" spans="1:27" ht="15" customHeight="1" x14ac:dyDescent="0.25">
      <c r="A1455" s="85"/>
      <c r="B1455" s="217" t="str">
        <f>IF(A1455&lt;&gt;"",_xlfn.MAXIFS($B$1:B1454,$A$1:A1454,A1455)+1,"")</f>
        <v/>
      </c>
      <c r="C1455" s="50"/>
      <c r="D1455" s="50"/>
      <c r="E1455" s="50"/>
      <c r="F1455" s="50"/>
      <c r="G1455" s="280"/>
      <c r="H1455" s="293"/>
      <c r="I1455" s="292"/>
      <c r="J1455" s="292"/>
      <c r="K1455" s="200"/>
      <c r="L1455" s="200"/>
      <c r="M1455" s="89" t="str">
        <f>IFERROR(VLOOKUP(H1455,Lijsten!$H$1:$I$100,2,0),"")</f>
        <v/>
      </c>
      <c r="N1455" s="89" t="str" cm="1">
        <f t="array" ref="N1455">IFERROR(_xlfn.IFS(AND(LEFT(F1455,6)="Arbeid",RIGHT(F1455,3)&lt;&gt;"IKS"),IFERROR(VLOOKUP($G1455,Tb_KostenTypen[],2,0),"tarief"),RIGHT(F1455,3)="IKS","Uurtarief",LEFT(F1455,6)="Arbeid","Uurtarief",AND(LEFT(F1455,8)="Bijdrage",RIGHT(F1455,15)="(vrijwilligers)"),"Vast tarief"),"")</f>
        <v/>
      </c>
      <c r="O1455" s="90"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0"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1"/>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59"/>
      <c r="Z1455" s="49"/>
      <c r="AA1455" s="37" t="str" cm="1">
        <f t="array" ref="AA1455">IFERROR(IF(INDEX(SubsidieTabel!$Q$1:$T$9,MATCH($F1455,SubsidieTabel!$Q$1:$Q$9,0),IFERROR(MATCH(Methode_Keuze,SubsidieTabel!$Q$1:$T$1,0),2))&lt;&gt;1=TRUE,"ja",""),"")</f>
        <v/>
      </c>
    </row>
    <row r="1456" spans="1:27" ht="15" customHeight="1" x14ac:dyDescent="0.25">
      <c r="A1456" s="85"/>
      <c r="B1456" s="217" t="str">
        <f>IF(A1456&lt;&gt;"",_xlfn.MAXIFS($B$1:B1455,$A$1:A1455,A1456)+1,"")</f>
        <v/>
      </c>
      <c r="C1456" s="50"/>
      <c r="D1456" s="50"/>
      <c r="E1456" s="50"/>
      <c r="F1456" s="50"/>
      <c r="G1456" s="280"/>
      <c r="H1456" s="293"/>
      <c r="I1456" s="292"/>
      <c r="J1456" s="292"/>
      <c r="K1456" s="200"/>
      <c r="L1456" s="200"/>
      <c r="M1456" s="89" t="str">
        <f>IFERROR(VLOOKUP(H1456,Lijsten!$H$1:$I$100,2,0),"")</f>
        <v/>
      </c>
      <c r="N1456" s="89" t="str" cm="1">
        <f t="array" ref="N1456">IFERROR(_xlfn.IFS(AND(LEFT(F1456,6)="Arbeid",RIGHT(F1456,3)&lt;&gt;"IKS"),IFERROR(VLOOKUP($G1456,Tb_KostenTypen[],2,0),"tarief"),RIGHT(F1456,3)="IKS","Uurtarief",LEFT(F1456,6)="Arbeid","Uurtarief",AND(LEFT(F1456,8)="Bijdrage",RIGHT(F1456,15)="(vrijwilligers)"),"Vast tarief"),"")</f>
        <v/>
      </c>
      <c r="O1456" s="90"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0"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1"/>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59"/>
      <c r="Z1456" s="49"/>
      <c r="AA1456" s="37" t="str" cm="1">
        <f t="array" ref="AA1456">IFERROR(IF(INDEX(SubsidieTabel!$Q$1:$T$9,MATCH($F1456,SubsidieTabel!$Q$1:$Q$9,0),IFERROR(MATCH(Methode_Keuze,SubsidieTabel!$Q$1:$T$1,0),2))&lt;&gt;1=TRUE,"ja",""),"")</f>
        <v/>
      </c>
    </row>
    <row r="1457" spans="1:27" ht="15" customHeight="1" x14ac:dyDescent="0.25">
      <c r="A1457" s="85"/>
      <c r="B1457" s="217" t="str">
        <f>IF(A1457&lt;&gt;"",_xlfn.MAXIFS($B$1:B1456,$A$1:A1456,A1457)+1,"")</f>
        <v/>
      </c>
      <c r="C1457" s="50"/>
      <c r="D1457" s="50"/>
      <c r="E1457" s="50"/>
      <c r="F1457" s="50"/>
      <c r="G1457" s="280"/>
      <c r="H1457" s="293"/>
      <c r="I1457" s="292"/>
      <c r="J1457" s="292"/>
      <c r="K1457" s="200"/>
      <c r="L1457" s="200"/>
      <c r="M1457" s="89" t="str">
        <f>IFERROR(VLOOKUP(H1457,Lijsten!$H$1:$I$100,2,0),"")</f>
        <v/>
      </c>
      <c r="N1457" s="89" t="str" cm="1">
        <f t="array" ref="N1457">IFERROR(_xlfn.IFS(AND(LEFT(F1457,6)="Arbeid",RIGHT(F1457,3)&lt;&gt;"IKS"),IFERROR(VLOOKUP($G1457,Tb_KostenTypen[],2,0),"tarief"),RIGHT(F1457,3)="IKS","Uurtarief",LEFT(F1457,6)="Arbeid","Uurtarief",AND(LEFT(F1457,8)="Bijdrage",RIGHT(F1457,15)="(vrijwilligers)"),"Vast tarief"),"")</f>
        <v/>
      </c>
      <c r="O1457" s="90"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0"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1"/>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59"/>
      <c r="Z1457" s="49"/>
      <c r="AA1457" s="37" t="str" cm="1">
        <f t="array" ref="AA1457">IFERROR(IF(INDEX(SubsidieTabel!$Q$1:$T$9,MATCH($F1457,SubsidieTabel!$Q$1:$Q$9,0),IFERROR(MATCH(Methode_Keuze,SubsidieTabel!$Q$1:$T$1,0),2))&lt;&gt;1=TRUE,"ja",""),"")</f>
        <v/>
      </c>
    </row>
    <row r="1458" spans="1:27" ht="15" customHeight="1" x14ac:dyDescent="0.25">
      <c r="A1458" s="85"/>
      <c r="B1458" s="217" t="str">
        <f>IF(A1458&lt;&gt;"",_xlfn.MAXIFS($B$1:B1457,$A$1:A1457,A1458)+1,"")</f>
        <v/>
      </c>
      <c r="C1458" s="50"/>
      <c r="D1458" s="50"/>
      <c r="E1458" s="50"/>
      <c r="F1458" s="50"/>
      <c r="G1458" s="280"/>
      <c r="H1458" s="293"/>
      <c r="I1458" s="292"/>
      <c r="J1458" s="292"/>
      <c r="K1458" s="200"/>
      <c r="L1458" s="200"/>
      <c r="M1458" s="89" t="str">
        <f>IFERROR(VLOOKUP(H1458,Lijsten!$H$1:$I$100,2,0),"")</f>
        <v/>
      </c>
      <c r="N1458" s="89" t="str" cm="1">
        <f t="array" ref="N1458">IFERROR(_xlfn.IFS(AND(LEFT(F1458,6)="Arbeid",RIGHT(F1458,3)&lt;&gt;"IKS"),IFERROR(VLOOKUP($G1458,Tb_KostenTypen[],2,0),"tarief"),RIGHT(F1458,3)="IKS","Uurtarief",LEFT(F1458,6)="Arbeid","Uurtarief",AND(LEFT(F1458,8)="Bijdrage",RIGHT(F1458,15)="(vrijwilligers)"),"Vast tarief"),"")</f>
        <v/>
      </c>
      <c r="O1458" s="90"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0"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1"/>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59"/>
      <c r="Z1458" s="49"/>
      <c r="AA1458" s="37" t="str" cm="1">
        <f t="array" ref="AA1458">IFERROR(IF(INDEX(SubsidieTabel!$Q$1:$T$9,MATCH($F1458,SubsidieTabel!$Q$1:$Q$9,0),IFERROR(MATCH(Methode_Keuze,SubsidieTabel!$Q$1:$T$1,0),2))&lt;&gt;1=TRUE,"ja",""),"")</f>
        <v/>
      </c>
    </row>
    <row r="1459" spans="1:27" ht="15" customHeight="1" x14ac:dyDescent="0.25">
      <c r="A1459" s="85"/>
      <c r="B1459" s="217" t="str">
        <f>IF(A1459&lt;&gt;"",_xlfn.MAXIFS($B$1:B1458,$A$1:A1458,A1459)+1,"")</f>
        <v/>
      </c>
      <c r="C1459" s="50"/>
      <c r="D1459" s="50"/>
      <c r="E1459" s="50"/>
      <c r="F1459" s="50"/>
      <c r="G1459" s="280"/>
      <c r="H1459" s="293"/>
      <c r="I1459" s="292"/>
      <c r="J1459" s="292"/>
      <c r="K1459" s="200"/>
      <c r="L1459" s="200"/>
      <c r="M1459" s="89" t="str">
        <f>IFERROR(VLOOKUP(H1459,Lijsten!$H$1:$I$100,2,0),"")</f>
        <v/>
      </c>
      <c r="N1459" s="89" t="str" cm="1">
        <f t="array" ref="N1459">IFERROR(_xlfn.IFS(AND(LEFT(F1459,6)="Arbeid",RIGHT(F1459,3)&lt;&gt;"IKS"),IFERROR(VLOOKUP($G1459,Tb_KostenTypen[],2,0),"tarief"),RIGHT(F1459,3)="IKS","Uurtarief",LEFT(F1459,6)="Arbeid","Uurtarief",AND(LEFT(F1459,8)="Bijdrage",RIGHT(F1459,15)="(vrijwilligers)"),"Vast tarief"),"")</f>
        <v/>
      </c>
      <c r="O1459" s="90"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0"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1"/>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59"/>
      <c r="Z1459" s="49"/>
      <c r="AA1459" s="37" t="str" cm="1">
        <f t="array" ref="AA1459">IFERROR(IF(INDEX(SubsidieTabel!$Q$1:$T$9,MATCH($F1459,SubsidieTabel!$Q$1:$Q$9,0),IFERROR(MATCH(Methode_Keuze,SubsidieTabel!$Q$1:$T$1,0),2))&lt;&gt;1=TRUE,"ja",""),"")</f>
        <v/>
      </c>
    </row>
    <row r="1460" spans="1:27" ht="15" customHeight="1" x14ac:dyDescent="0.25">
      <c r="A1460" s="85"/>
      <c r="B1460" s="217" t="str">
        <f>IF(A1460&lt;&gt;"",_xlfn.MAXIFS($B$1:B1459,$A$1:A1459,A1460)+1,"")</f>
        <v/>
      </c>
      <c r="C1460" s="50"/>
      <c r="D1460" s="50"/>
      <c r="E1460" s="50"/>
      <c r="F1460" s="50"/>
      <c r="G1460" s="280"/>
      <c r="H1460" s="293"/>
      <c r="I1460" s="292"/>
      <c r="J1460" s="292"/>
      <c r="K1460" s="200"/>
      <c r="L1460" s="200"/>
      <c r="M1460" s="89" t="str">
        <f>IFERROR(VLOOKUP(H1460,Lijsten!$H$1:$I$100,2,0),"")</f>
        <v/>
      </c>
      <c r="N1460" s="89" t="str" cm="1">
        <f t="array" ref="N1460">IFERROR(_xlfn.IFS(AND(LEFT(F1460,6)="Arbeid",RIGHT(F1460,3)&lt;&gt;"IKS"),IFERROR(VLOOKUP($G1460,Tb_KostenTypen[],2,0),"tarief"),RIGHT(F1460,3)="IKS","Uurtarief",LEFT(F1460,6)="Arbeid","Uurtarief",AND(LEFT(F1460,8)="Bijdrage",RIGHT(F1460,15)="(vrijwilligers)"),"Vast tarief"),"")</f>
        <v/>
      </c>
      <c r="O1460" s="90"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0"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1"/>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59"/>
      <c r="Z1460" s="49"/>
      <c r="AA1460" s="37" t="str" cm="1">
        <f t="array" ref="AA1460">IFERROR(IF(INDEX(SubsidieTabel!$Q$1:$T$9,MATCH($F1460,SubsidieTabel!$Q$1:$Q$9,0),IFERROR(MATCH(Methode_Keuze,SubsidieTabel!$Q$1:$T$1,0),2))&lt;&gt;1=TRUE,"ja",""),"")</f>
        <v/>
      </c>
    </row>
    <row r="1461" spans="1:27" ht="15" customHeight="1" x14ac:dyDescent="0.25">
      <c r="A1461" s="85"/>
      <c r="B1461" s="217" t="str">
        <f>IF(A1461&lt;&gt;"",_xlfn.MAXIFS($B$1:B1460,$A$1:A1460,A1461)+1,"")</f>
        <v/>
      </c>
      <c r="C1461" s="50"/>
      <c r="D1461" s="50"/>
      <c r="E1461" s="50"/>
      <c r="F1461" s="50"/>
      <c r="G1461" s="280"/>
      <c r="H1461" s="293"/>
      <c r="I1461" s="292"/>
      <c r="J1461" s="292"/>
      <c r="K1461" s="200"/>
      <c r="L1461" s="200"/>
      <c r="M1461" s="89" t="str">
        <f>IFERROR(VLOOKUP(H1461,Lijsten!$H$1:$I$100,2,0),"")</f>
        <v/>
      </c>
      <c r="N1461" s="89" t="str" cm="1">
        <f t="array" ref="N1461">IFERROR(_xlfn.IFS(AND(LEFT(F1461,6)="Arbeid",RIGHT(F1461,3)&lt;&gt;"IKS"),IFERROR(VLOOKUP($G1461,Tb_KostenTypen[],2,0),"tarief"),RIGHT(F1461,3)="IKS","Uurtarief",LEFT(F1461,6)="Arbeid","Uurtarief",AND(LEFT(F1461,8)="Bijdrage",RIGHT(F1461,15)="(vrijwilligers)"),"Vast tarief"),"")</f>
        <v/>
      </c>
      <c r="O1461" s="90"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0"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1"/>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59"/>
      <c r="Z1461" s="49"/>
      <c r="AA1461" s="37" t="str" cm="1">
        <f t="array" ref="AA1461">IFERROR(IF(INDEX(SubsidieTabel!$Q$1:$T$9,MATCH($F1461,SubsidieTabel!$Q$1:$Q$9,0),IFERROR(MATCH(Methode_Keuze,SubsidieTabel!$Q$1:$T$1,0),2))&lt;&gt;1=TRUE,"ja",""),"")</f>
        <v/>
      </c>
    </row>
    <row r="1462" spans="1:27" ht="15" customHeight="1" x14ac:dyDescent="0.25">
      <c r="A1462" s="85"/>
      <c r="B1462" s="217" t="str">
        <f>IF(A1462&lt;&gt;"",_xlfn.MAXIFS($B$1:B1461,$A$1:A1461,A1462)+1,"")</f>
        <v/>
      </c>
      <c r="C1462" s="50"/>
      <c r="D1462" s="50"/>
      <c r="E1462" s="50"/>
      <c r="F1462" s="50"/>
      <c r="G1462" s="280"/>
      <c r="H1462" s="293"/>
      <c r="I1462" s="292"/>
      <c r="J1462" s="292"/>
      <c r="K1462" s="200"/>
      <c r="L1462" s="200"/>
      <c r="M1462" s="89" t="str">
        <f>IFERROR(VLOOKUP(H1462,Lijsten!$H$1:$I$100,2,0),"")</f>
        <v/>
      </c>
      <c r="N1462" s="89" t="str" cm="1">
        <f t="array" ref="N1462">IFERROR(_xlfn.IFS(AND(LEFT(F1462,6)="Arbeid",RIGHT(F1462,3)&lt;&gt;"IKS"),IFERROR(VLOOKUP($G1462,Tb_KostenTypen[],2,0),"tarief"),RIGHT(F1462,3)="IKS","Uurtarief",LEFT(F1462,6)="Arbeid","Uurtarief",AND(LEFT(F1462,8)="Bijdrage",RIGHT(F1462,15)="(vrijwilligers)"),"Vast tarief"),"")</f>
        <v/>
      </c>
      <c r="O1462" s="90"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0"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1"/>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59"/>
      <c r="Z1462" s="49"/>
      <c r="AA1462" s="37" t="str" cm="1">
        <f t="array" ref="AA1462">IFERROR(IF(INDEX(SubsidieTabel!$Q$1:$T$9,MATCH($F1462,SubsidieTabel!$Q$1:$Q$9,0),IFERROR(MATCH(Methode_Keuze,SubsidieTabel!$Q$1:$T$1,0),2))&lt;&gt;1=TRUE,"ja",""),"")</f>
        <v/>
      </c>
    </row>
    <row r="1463" spans="1:27" ht="15" customHeight="1" x14ac:dyDescent="0.25">
      <c r="A1463" s="85"/>
      <c r="B1463" s="217" t="str">
        <f>IF(A1463&lt;&gt;"",_xlfn.MAXIFS($B$1:B1462,$A$1:A1462,A1463)+1,"")</f>
        <v/>
      </c>
      <c r="C1463" s="50"/>
      <c r="D1463" s="50"/>
      <c r="E1463" s="50"/>
      <c r="F1463" s="50"/>
      <c r="G1463" s="280"/>
      <c r="H1463" s="293"/>
      <c r="I1463" s="292"/>
      <c r="J1463" s="292"/>
      <c r="K1463" s="200"/>
      <c r="L1463" s="200"/>
      <c r="M1463" s="89" t="str">
        <f>IFERROR(VLOOKUP(H1463,Lijsten!$H$1:$I$100,2,0),"")</f>
        <v/>
      </c>
      <c r="N1463" s="89" t="str" cm="1">
        <f t="array" ref="N1463">IFERROR(_xlfn.IFS(AND(LEFT(F1463,6)="Arbeid",RIGHT(F1463,3)&lt;&gt;"IKS"),IFERROR(VLOOKUP($G1463,Tb_KostenTypen[],2,0),"tarief"),RIGHT(F1463,3)="IKS","Uurtarief",LEFT(F1463,6)="Arbeid","Uurtarief",AND(LEFT(F1463,8)="Bijdrage",RIGHT(F1463,15)="(vrijwilligers)"),"Vast tarief"),"")</f>
        <v/>
      </c>
      <c r="O1463" s="90"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0"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1"/>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59"/>
      <c r="Z1463" s="49"/>
      <c r="AA1463" s="37" t="str" cm="1">
        <f t="array" ref="AA1463">IFERROR(IF(INDEX(SubsidieTabel!$Q$1:$T$9,MATCH($F1463,SubsidieTabel!$Q$1:$Q$9,0),IFERROR(MATCH(Methode_Keuze,SubsidieTabel!$Q$1:$T$1,0),2))&lt;&gt;1=TRUE,"ja",""),"")</f>
        <v/>
      </c>
    </row>
    <row r="1464" spans="1:27" ht="15" customHeight="1" x14ac:dyDescent="0.25">
      <c r="A1464" s="85"/>
      <c r="B1464" s="217" t="str">
        <f>IF(A1464&lt;&gt;"",_xlfn.MAXIFS($B$1:B1463,$A$1:A1463,A1464)+1,"")</f>
        <v/>
      </c>
      <c r="C1464" s="50"/>
      <c r="D1464" s="50"/>
      <c r="E1464" s="50"/>
      <c r="F1464" s="50"/>
      <c r="G1464" s="280"/>
      <c r="H1464" s="293"/>
      <c r="I1464" s="292"/>
      <c r="J1464" s="292"/>
      <c r="K1464" s="200"/>
      <c r="L1464" s="200"/>
      <c r="M1464" s="89" t="str">
        <f>IFERROR(VLOOKUP(H1464,Lijsten!$H$1:$I$100,2,0),"")</f>
        <v/>
      </c>
      <c r="N1464" s="89" t="str" cm="1">
        <f t="array" ref="N1464">IFERROR(_xlfn.IFS(AND(LEFT(F1464,6)="Arbeid",RIGHT(F1464,3)&lt;&gt;"IKS"),IFERROR(VLOOKUP($G1464,Tb_KostenTypen[],2,0),"tarief"),RIGHT(F1464,3)="IKS","Uurtarief",LEFT(F1464,6)="Arbeid","Uurtarief",AND(LEFT(F1464,8)="Bijdrage",RIGHT(F1464,15)="(vrijwilligers)"),"Vast tarief"),"")</f>
        <v/>
      </c>
      <c r="O1464" s="90"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0"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1"/>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59"/>
      <c r="Z1464" s="49"/>
      <c r="AA1464" s="37" t="str" cm="1">
        <f t="array" ref="AA1464">IFERROR(IF(INDEX(SubsidieTabel!$Q$1:$T$9,MATCH($F1464,SubsidieTabel!$Q$1:$Q$9,0),IFERROR(MATCH(Methode_Keuze,SubsidieTabel!$Q$1:$T$1,0),2))&lt;&gt;1=TRUE,"ja",""),"")</f>
        <v/>
      </c>
    </row>
    <row r="1465" spans="1:27" ht="15" customHeight="1" x14ac:dyDescent="0.25">
      <c r="A1465" s="85"/>
      <c r="B1465" s="217" t="str">
        <f>IF(A1465&lt;&gt;"",_xlfn.MAXIFS($B$1:B1464,$A$1:A1464,A1465)+1,"")</f>
        <v/>
      </c>
      <c r="C1465" s="50"/>
      <c r="D1465" s="50"/>
      <c r="E1465" s="50"/>
      <c r="F1465" s="50"/>
      <c r="G1465" s="280"/>
      <c r="H1465" s="293"/>
      <c r="I1465" s="292"/>
      <c r="J1465" s="292"/>
      <c r="K1465" s="200"/>
      <c r="L1465" s="200"/>
      <c r="M1465" s="89" t="str">
        <f>IFERROR(VLOOKUP(H1465,Lijsten!$H$1:$I$100,2,0),"")</f>
        <v/>
      </c>
      <c r="N1465" s="89" t="str" cm="1">
        <f t="array" ref="N1465">IFERROR(_xlfn.IFS(AND(LEFT(F1465,6)="Arbeid",RIGHT(F1465,3)&lt;&gt;"IKS"),IFERROR(VLOOKUP($G1465,Tb_KostenTypen[],2,0),"tarief"),RIGHT(F1465,3)="IKS","Uurtarief",LEFT(F1465,6)="Arbeid","Uurtarief",AND(LEFT(F1465,8)="Bijdrage",RIGHT(F1465,15)="(vrijwilligers)"),"Vast tarief"),"")</f>
        <v/>
      </c>
      <c r="O1465" s="90"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0"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1"/>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59"/>
      <c r="Z1465" s="49"/>
      <c r="AA1465" s="37" t="str" cm="1">
        <f t="array" ref="AA1465">IFERROR(IF(INDEX(SubsidieTabel!$Q$1:$T$9,MATCH($F1465,SubsidieTabel!$Q$1:$Q$9,0),IFERROR(MATCH(Methode_Keuze,SubsidieTabel!$Q$1:$T$1,0),2))&lt;&gt;1=TRUE,"ja",""),"")</f>
        <v/>
      </c>
    </row>
    <row r="1466" spans="1:27" ht="15" customHeight="1" x14ac:dyDescent="0.25">
      <c r="A1466" s="85"/>
      <c r="B1466" s="217" t="str">
        <f>IF(A1466&lt;&gt;"",_xlfn.MAXIFS($B$1:B1465,$A$1:A1465,A1466)+1,"")</f>
        <v/>
      </c>
      <c r="C1466" s="50"/>
      <c r="D1466" s="50"/>
      <c r="E1466" s="50"/>
      <c r="F1466" s="50"/>
      <c r="G1466" s="280"/>
      <c r="H1466" s="293"/>
      <c r="I1466" s="292"/>
      <c r="J1466" s="292"/>
      <c r="K1466" s="200"/>
      <c r="L1466" s="200"/>
      <c r="M1466" s="89" t="str">
        <f>IFERROR(VLOOKUP(H1466,Lijsten!$H$1:$I$100,2,0),"")</f>
        <v/>
      </c>
      <c r="N1466" s="89" t="str" cm="1">
        <f t="array" ref="N1466">IFERROR(_xlfn.IFS(AND(LEFT(F1466,6)="Arbeid",RIGHT(F1466,3)&lt;&gt;"IKS"),IFERROR(VLOOKUP($G1466,Tb_KostenTypen[],2,0),"tarief"),RIGHT(F1466,3)="IKS","Uurtarief",LEFT(F1466,6)="Arbeid","Uurtarief",AND(LEFT(F1466,8)="Bijdrage",RIGHT(F1466,15)="(vrijwilligers)"),"Vast tarief"),"")</f>
        <v/>
      </c>
      <c r="O1466" s="90"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0"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1"/>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59"/>
      <c r="Z1466" s="49"/>
      <c r="AA1466" s="37" t="str" cm="1">
        <f t="array" ref="AA1466">IFERROR(IF(INDEX(SubsidieTabel!$Q$1:$T$9,MATCH($F1466,SubsidieTabel!$Q$1:$Q$9,0),IFERROR(MATCH(Methode_Keuze,SubsidieTabel!$Q$1:$T$1,0),2))&lt;&gt;1=TRUE,"ja",""),"")</f>
        <v/>
      </c>
    </row>
    <row r="1467" spans="1:27" ht="15" customHeight="1" x14ac:dyDescent="0.25">
      <c r="A1467" s="85"/>
      <c r="B1467" s="217" t="str">
        <f>IF(A1467&lt;&gt;"",_xlfn.MAXIFS($B$1:B1466,$A$1:A1466,A1467)+1,"")</f>
        <v/>
      </c>
      <c r="C1467" s="50"/>
      <c r="D1467" s="50"/>
      <c r="E1467" s="50"/>
      <c r="F1467" s="50"/>
      <c r="G1467" s="280"/>
      <c r="H1467" s="293"/>
      <c r="I1467" s="292"/>
      <c r="J1467" s="292"/>
      <c r="K1467" s="200"/>
      <c r="L1467" s="200"/>
      <c r="M1467" s="89" t="str">
        <f>IFERROR(VLOOKUP(H1467,Lijsten!$H$1:$I$100,2,0),"")</f>
        <v/>
      </c>
      <c r="N1467" s="89" t="str" cm="1">
        <f t="array" ref="N1467">IFERROR(_xlfn.IFS(AND(LEFT(F1467,6)="Arbeid",RIGHT(F1467,3)&lt;&gt;"IKS"),IFERROR(VLOOKUP($G1467,Tb_KostenTypen[],2,0),"tarief"),RIGHT(F1467,3)="IKS","Uurtarief",LEFT(F1467,6)="Arbeid","Uurtarief",AND(LEFT(F1467,8)="Bijdrage",RIGHT(F1467,15)="(vrijwilligers)"),"Vast tarief"),"")</f>
        <v/>
      </c>
      <c r="O1467" s="90"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0"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1"/>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59"/>
      <c r="Z1467" s="49"/>
      <c r="AA1467" s="37" t="str" cm="1">
        <f t="array" ref="AA1467">IFERROR(IF(INDEX(SubsidieTabel!$Q$1:$T$9,MATCH($F1467,SubsidieTabel!$Q$1:$Q$9,0),IFERROR(MATCH(Methode_Keuze,SubsidieTabel!$Q$1:$T$1,0),2))&lt;&gt;1=TRUE,"ja",""),"")</f>
        <v/>
      </c>
    </row>
    <row r="1468" spans="1:27" ht="15" customHeight="1" x14ac:dyDescent="0.25">
      <c r="A1468" s="85"/>
      <c r="B1468" s="217" t="str">
        <f>IF(A1468&lt;&gt;"",_xlfn.MAXIFS($B$1:B1467,$A$1:A1467,A1468)+1,"")</f>
        <v/>
      </c>
      <c r="C1468" s="50"/>
      <c r="D1468" s="50"/>
      <c r="E1468" s="50"/>
      <c r="F1468" s="50"/>
      <c r="G1468" s="280"/>
      <c r="H1468" s="293"/>
      <c r="I1468" s="292"/>
      <c r="J1468" s="292"/>
      <c r="K1468" s="200"/>
      <c r="L1468" s="200"/>
      <c r="M1468" s="89" t="str">
        <f>IFERROR(VLOOKUP(H1468,Lijsten!$H$1:$I$100,2,0),"")</f>
        <v/>
      </c>
      <c r="N1468" s="89" t="str" cm="1">
        <f t="array" ref="N1468">IFERROR(_xlfn.IFS(AND(LEFT(F1468,6)="Arbeid",RIGHT(F1468,3)&lt;&gt;"IKS"),IFERROR(VLOOKUP($G1468,Tb_KostenTypen[],2,0),"tarief"),RIGHT(F1468,3)="IKS","Uurtarief",LEFT(F1468,6)="Arbeid","Uurtarief",AND(LEFT(F1468,8)="Bijdrage",RIGHT(F1468,15)="(vrijwilligers)"),"Vast tarief"),"")</f>
        <v/>
      </c>
      <c r="O1468" s="90"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0"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1"/>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59"/>
      <c r="Z1468" s="49"/>
      <c r="AA1468" s="37" t="str" cm="1">
        <f t="array" ref="AA1468">IFERROR(IF(INDEX(SubsidieTabel!$Q$1:$T$9,MATCH($F1468,SubsidieTabel!$Q$1:$Q$9,0),IFERROR(MATCH(Methode_Keuze,SubsidieTabel!$Q$1:$T$1,0),2))&lt;&gt;1=TRUE,"ja",""),"")</f>
        <v/>
      </c>
    </row>
    <row r="1469" spans="1:27" ht="15" customHeight="1" x14ac:dyDescent="0.25">
      <c r="A1469" s="85"/>
      <c r="B1469" s="217" t="str">
        <f>IF(A1469&lt;&gt;"",_xlfn.MAXIFS($B$1:B1468,$A$1:A1468,A1469)+1,"")</f>
        <v/>
      </c>
      <c r="C1469" s="50"/>
      <c r="D1469" s="50"/>
      <c r="E1469" s="50"/>
      <c r="F1469" s="50"/>
      <c r="G1469" s="280"/>
      <c r="H1469" s="293"/>
      <c r="I1469" s="292"/>
      <c r="J1469" s="292"/>
      <c r="K1469" s="200"/>
      <c r="L1469" s="200"/>
      <c r="M1469" s="89" t="str">
        <f>IFERROR(VLOOKUP(H1469,Lijsten!$H$1:$I$100,2,0),"")</f>
        <v/>
      </c>
      <c r="N1469" s="89" t="str" cm="1">
        <f t="array" ref="N1469">IFERROR(_xlfn.IFS(AND(LEFT(F1469,6)="Arbeid",RIGHT(F1469,3)&lt;&gt;"IKS"),IFERROR(VLOOKUP($G1469,Tb_KostenTypen[],2,0),"tarief"),RIGHT(F1469,3)="IKS","Uurtarief",LEFT(F1469,6)="Arbeid","Uurtarief",AND(LEFT(F1469,8)="Bijdrage",RIGHT(F1469,15)="(vrijwilligers)"),"Vast tarief"),"")</f>
        <v/>
      </c>
      <c r="O1469" s="90"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0"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1"/>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59"/>
      <c r="Z1469" s="49"/>
      <c r="AA1469" s="37" t="str" cm="1">
        <f t="array" ref="AA1469">IFERROR(IF(INDEX(SubsidieTabel!$Q$1:$T$9,MATCH($F1469,SubsidieTabel!$Q$1:$Q$9,0),IFERROR(MATCH(Methode_Keuze,SubsidieTabel!$Q$1:$T$1,0),2))&lt;&gt;1=TRUE,"ja",""),"")</f>
        <v/>
      </c>
    </row>
    <row r="1470" spans="1:27" ht="15" customHeight="1" x14ac:dyDescent="0.25">
      <c r="A1470" s="85"/>
      <c r="B1470" s="217" t="str">
        <f>IF(A1470&lt;&gt;"",_xlfn.MAXIFS($B$1:B1469,$A$1:A1469,A1470)+1,"")</f>
        <v/>
      </c>
      <c r="C1470" s="50"/>
      <c r="D1470" s="50"/>
      <c r="E1470" s="50"/>
      <c r="F1470" s="50"/>
      <c r="G1470" s="280"/>
      <c r="H1470" s="293"/>
      <c r="I1470" s="292"/>
      <c r="J1470" s="292"/>
      <c r="K1470" s="200"/>
      <c r="L1470" s="200"/>
      <c r="M1470" s="89" t="str">
        <f>IFERROR(VLOOKUP(H1470,Lijsten!$H$1:$I$100,2,0),"")</f>
        <v/>
      </c>
      <c r="N1470" s="89" t="str" cm="1">
        <f t="array" ref="N1470">IFERROR(_xlfn.IFS(AND(LEFT(F1470,6)="Arbeid",RIGHT(F1470,3)&lt;&gt;"IKS"),IFERROR(VLOOKUP($G1470,Tb_KostenTypen[],2,0),"tarief"),RIGHT(F1470,3)="IKS","Uurtarief",LEFT(F1470,6)="Arbeid","Uurtarief",AND(LEFT(F1470,8)="Bijdrage",RIGHT(F1470,15)="(vrijwilligers)"),"Vast tarief"),"")</f>
        <v/>
      </c>
      <c r="O1470" s="90"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0"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1"/>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59"/>
      <c r="Z1470" s="49"/>
      <c r="AA1470" s="37" t="str" cm="1">
        <f t="array" ref="AA1470">IFERROR(IF(INDEX(SubsidieTabel!$Q$1:$T$9,MATCH($F1470,SubsidieTabel!$Q$1:$Q$9,0),IFERROR(MATCH(Methode_Keuze,SubsidieTabel!$Q$1:$T$1,0),2))&lt;&gt;1=TRUE,"ja",""),"")</f>
        <v/>
      </c>
    </row>
    <row r="1471" spans="1:27" ht="15" customHeight="1" x14ac:dyDescent="0.25">
      <c r="A1471" s="85"/>
      <c r="B1471" s="217" t="str">
        <f>IF(A1471&lt;&gt;"",_xlfn.MAXIFS($B$1:B1470,$A$1:A1470,A1471)+1,"")</f>
        <v/>
      </c>
      <c r="C1471" s="50"/>
      <c r="D1471" s="50"/>
      <c r="E1471" s="50"/>
      <c r="F1471" s="50"/>
      <c r="G1471" s="280"/>
      <c r="H1471" s="293"/>
      <c r="I1471" s="292"/>
      <c r="J1471" s="292"/>
      <c r="K1471" s="200"/>
      <c r="L1471" s="200"/>
      <c r="M1471" s="89" t="str">
        <f>IFERROR(VLOOKUP(H1471,Lijsten!$H$1:$I$100,2,0),"")</f>
        <v/>
      </c>
      <c r="N1471" s="89" t="str" cm="1">
        <f t="array" ref="N1471">IFERROR(_xlfn.IFS(AND(LEFT(F1471,6)="Arbeid",RIGHT(F1471,3)&lt;&gt;"IKS"),IFERROR(VLOOKUP($G1471,Tb_KostenTypen[],2,0),"tarief"),RIGHT(F1471,3)="IKS","Uurtarief",LEFT(F1471,6)="Arbeid","Uurtarief",AND(LEFT(F1471,8)="Bijdrage",RIGHT(F1471,15)="(vrijwilligers)"),"Vast tarief"),"")</f>
        <v/>
      </c>
      <c r="O1471" s="90"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0"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1"/>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59"/>
      <c r="Z1471" s="49"/>
      <c r="AA1471" s="37" t="str" cm="1">
        <f t="array" ref="AA1471">IFERROR(IF(INDEX(SubsidieTabel!$Q$1:$T$9,MATCH($F1471,SubsidieTabel!$Q$1:$Q$9,0),IFERROR(MATCH(Methode_Keuze,SubsidieTabel!$Q$1:$T$1,0),2))&lt;&gt;1=TRUE,"ja",""),"")</f>
        <v/>
      </c>
    </row>
    <row r="1472" spans="1:27" ht="15" customHeight="1" x14ac:dyDescent="0.25">
      <c r="A1472" s="85"/>
      <c r="B1472" s="217" t="str">
        <f>IF(A1472&lt;&gt;"",_xlfn.MAXIFS($B$1:B1471,$A$1:A1471,A1472)+1,"")</f>
        <v/>
      </c>
      <c r="C1472" s="50"/>
      <c r="D1472" s="50"/>
      <c r="E1472" s="50"/>
      <c r="F1472" s="50"/>
      <c r="G1472" s="280"/>
      <c r="H1472" s="293"/>
      <c r="I1472" s="292"/>
      <c r="J1472" s="292"/>
      <c r="K1472" s="200"/>
      <c r="L1472" s="200"/>
      <c r="M1472" s="89" t="str">
        <f>IFERROR(VLOOKUP(H1472,Lijsten!$H$1:$I$100,2,0),"")</f>
        <v/>
      </c>
      <c r="N1472" s="89" t="str" cm="1">
        <f t="array" ref="N1472">IFERROR(_xlfn.IFS(AND(LEFT(F1472,6)="Arbeid",RIGHT(F1472,3)&lt;&gt;"IKS"),IFERROR(VLOOKUP($G1472,Tb_KostenTypen[],2,0),"tarief"),RIGHT(F1472,3)="IKS","Uurtarief",LEFT(F1472,6)="Arbeid","Uurtarief",AND(LEFT(F1472,8)="Bijdrage",RIGHT(F1472,15)="(vrijwilligers)"),"Vast tarief"),"")</f>
        <v/>
      </c>
      <c r="O1472" s="90"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0"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1"/>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59"/>
      <c r="Z1472" s="49"/>
      <c r="AA1472" s="37" t="str" cm="1">
        <f t="array" ref="AA1472">IFERROR(IF(INDEX(SubsidieTabel!$Q$1:$T$9,MATCH($F1472,SubsidieTabel!$Q$1:$Q$9,0),IFERROR(MATCH(Methode_Keuze,SubsidieTabel!$Q$1:$T$1,0),2))&lt;&gt;1=TRUE,"ja",""),"")</f>
        <v/>
      </c>
    </row>
    <row r="1473" spans="1:27" ht="15" customHeight="1" x14ac:dyDescent="0.25">
      <c r="A1473" s="85"/>
      <c r="B1473" s="217" t="str">
        <f>IF(A1473&lt;&gt;"",_xlfn.MAXIFS($B$1:B1472,$A$1:A1472,A1473)+1,"")</f>
        <v/>
      </c>
      <c r="C1473" s="50"/>
      <c r="D1473" s="50"/>
      <c r="E1473" s="50"/>
      <c r="F1473" s="50"/>
      <c r="G1473" s="280"/>
      <c r="H1473" s="293"/>
      <c r="I1473" s="292"/>
      <c r="J1473" s="292"/>
      <c r="K1473" s="200"/>
      <c r="L1473" s="200"/>
      <c r="M1473" s="89" t="str">
        <f>IFERROR(VLOOKUP(H1473,Lijsten!$H$1:$I$100,2,0),"")</f>
        <v/>
      </c>
      <c r="N1473" s="89" t="str" cm="1">
        <f t="array" ref="N1473">IFERROR(_xlfn.IFS(AND(LEFT(F1473,6)="Arbeid",RIGHT(F1473,3)&lt;&gt;"IKS"),IFERROR(VLOOKUP($G1473,Tb_KostenTypen[],2,0),"tarief"),RIGHT(F1473,3)="IKS","Uurtarief",LEFT(F1473,6)="Arbeid","Uurtarief",AND(LEFT(F1473,8)="Bijdrage",RIGHT(F1473,15)="(vrijwilligers)"),"Vast tarief"),"")</f>
        <v/>
      </c>
      <c r="O1473" s="90"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0"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1"/>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59"/>
      <c r="Z1473" s="49"/>
      <c r="AA1473" s="37" t="str" cm="1">
        <f t="array" ref="AA1473">IFERROR(IF(INDEX(SubsidieTabel!$Q$1:$T$9,MATCH($F1473,SubsidieTabel!$Q$1:$Q$9,0),IFERROR(MATCH(Methode_Keuze,SubsidieTabel!$Q$1:$T$1,0),2))&lt;&gt;1=TRUE,"ja",""),"")</f>
        <v/>
      </c>
    </row>
    <row r="1474" spans="1:27" ht="15" customHeight="1" x14ac:dyDescent="0.25">
      <c r="A1474" s="85"/>
      <c r="B1474" s="217" t="str">
        <f>IF(A1474&lt;&gt;"",_xlfn.MAXIFS($B$1:B1473,$A$1:A1473,A1474)+1,"")</f>
        <v/>
      </c>
      <c r="C1474" s="50"/>
      <c r="D1474" s="50"/>
      <c r="E1474" s="50"/>
      <c r="F1474" s="50"/>
      <c r="G1474" s="280"/>
      <c r="H1474" s="293"/>
      <c r="I1474" s="292"/>
      <c r="J1474" s="292"/>
      <c r="K1474" s="200"/>
      <c r="L1474" s="200"/>
      <c r="M1474" s="89" t="str">
        <f>IFERROR(VLOOKUP(H1474,Lijsten!$H$1:$I$100,2,0),"")</f>
        <v/>
      </c>
      <c r="N1474" s="89" t="str" cm="1">
        <f t="array" ref="N1474">IFERROR(_xlfn.IFS(AND(LEFT(F1474,6)="Arbeid",RIGHT(F1474,3)&lt;&gt;"IKS"),IFERROR(VLOOKUP($G1474,Tb_KostenTypen[],2,0),"tarief"),RIGHT(F1474,3)="IKS","Uurtarief",LEFT(F1474,6)="Arbeid","Uurtarief",AND(LEFT(F1474,8)="Bijdrage",RIGHT(F1474,15)="(vrijwilligers)"),"Vast tarief"),"")</f>
        <v/>
      </c>
      <c r="O1474" s="90"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0"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1"/>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59"/>
      <c r="Z1474" s="49"/>
      <c r="AA1474" s="37" t="str" cm="1">
        <f t="array" ref="AA1474">IFERROR(IF(INDEX(SubsidieTabel!$Q$1:$T$9,MATCH($F1474,SubsidieTabel!$Q$1:$Q$9,0),IFERROR(MATCH(Methode_Keuze,SubsidieTabel!$Q$1:$T$1,0),2))&lt;&gt;1=TRUE,"ja",""),"")</f>
        <v/>
      </c>
    </row>
    <row r="1475" spans="1:27" ht="15" customHeight="1" x14ac:dyDescent="0.25">
      <c r="A1475" s="85"/>
      <c r="B1475" s="217" t="str">
        <f>IF(A1475&lt;&gt;"",_xlfn.MAXIFS($B$1:B1474,$A$1:A1474,A1475)+1,"")</f>
        <v/>
      </c>
      <c r="C1475" s="50"/>
      <c r="D1475" s="50"/>
      <c r="E1475" s="50"/>
      <c r="F1475" s="50"/>
      <c r="G1475" s="280"/>
      <c r="H1475" s="293"/>
      <c r="I1475" s="292"/>
      <c r="J1475" s="292"/>
      <c r="K1475" s="200"/>
      <c r="L1475" s="200"/>
      <c r="M1475" s="89" t="str">
        <f>IFERROR(VLOOKUP(H1475,Lijsten!$H$1:$I$100,2,0),"")</f>
        <v/>
      </c>
      <c r="N1475" s="89" t="str" cm="1">
        <f t="array" ref="N1475">IFERROR(_xlfn.IFS(AND(LEFT(F1475,6)="Arbeid",RIGHT(F1475,3)&lt;&gt;"IKS"),IFERROR(VLOOKUP($G1475,Tb_KostenTypen[],2,0),"tarief"),RIGHT(F1475,3)="IKS","Uurtarief",LEFT(F1475,6)="Arbeid","Uurtarief",AND(LEFT(F1475,8)="Bijdrage",RIGHT(F1475,15)="(vrijwilligers)"),"Vast tarief"),"")</f>
        <v/>
      </c>
      <c r="O1475" s="90"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0"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1"/>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59"/>
      <c r="Z1475" s="49"/>
      <c r="AA1475" s="37" t="str" cm="1">
        <f t="array" ref="AA1475">IFERROR(IF(INDEX(SubsidieTabel!$Q$1:$T$9,MATCH($F1475,SubsidieTabel!$Q$1:$Q$9,0),IFERROR(MATCH(Methode_Keuze,SubsidieTabel!$Q$1:$T$1,0),2))&lt;&gt;1=TRUE,"ja",""),"")</f>
        <v/>
      </c>
    </row>
    <row r="1476" spans="1:27" ht="15" customHeight="1" x14ac:dyDescent="0.25">
      <c r="A1476" s="85"/>
      <c r="B1476" s="217" t="str">
        <f>IF(A1476&lt;&gt;"",_xlfn.MAXIFS($B$1:B1475,$A$1:A1475,A1476)+1,"")</f>
        <v/>
      </c>
      <c r="C1476" s="50"/>
      <c r="D1476" s="50"/>
      <c r="E1476" s="50"/>
      <c r="F1476" s="50"/>
      <c r="G1476" s="280"/>
      <c r="H1476" s="293"/>
      <c r="I1476" s="292"/>
      <c r="J1476" s="292"/>
      <c r="K1476" s="200"/>
      <c r="L1476" s="200"/>
      <c r="M1476" s="89" t="str">
        <f>IFERROR(VLOOKUP(H1476,Lijsten!$H$1:$I$100,2,0),"")</f>
        <v/>
      </c>
      <c r="N1476" s="89" t="str" cm="1">
        <f t="array" ref="N1476">IFERROR(_xlfn.IFS(AND(LEFT(F1476,6)="Arbeid",RIGHT(F1476,3)&lt;&gt;"IKS"),IFERROR(VLOOKUP($G1476,Tb_KostenTypen[],2,0),"tarief"),RIGHT(F1476,3)="IKS","Uurtarief",LEFT(F1476,6)="Arbeid","Uurtarief",AND(LEFT(F1476,8)="Bijdrage",RIGHT(F1476,15)="(vrijwilligers)"),"Vast tarief"),"")</f>
        <v/>
      </c>
      <c r="O1476" s="90"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0"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1"/>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59"/>
      <c r="Z1476" s="49"/>
      <c r="AA1476" s="37" t="str" cm="1">
        <f t="array" ref="AA1476">IFERROR(IF(INDEX(SubsidieTabel!$Q$1:$T$9,MATCH($F1476,SubsidieTabel!$Q$1:$Q$9,0),IFERROR(MATCH(Methode_Keuze,SubsidieTabel!$Q$1:$T$1,0),2))&lt;&gt;1=TRUE,"ja",""),"")</f>
        <v/>
      </c>
    </row>
    <row r="1477" spans="1:27" ht="15" customHeight="1" x14ac:dyDescent="0.25">
      <c r="A1477" s="85"/>
      <c r="B1477" s="217" t="str">
        <f>IF(A1477&lt;&gt;"",_xlfn.MAXIFS($B$1:B1476,$A$1:A1476,A1477)+1,"")</f>
        <v/>
      </c>
      <c r="C1477" s="50"/>
      <c r="D1477" s="50"/>
      <c r="E1477" s="50"/>
      <c r="F1477" s="50"/>
      <c r="G1477" s="280"/>
      <c r="H1477" s="293"/>
      <c r="I1477" s="292"/>
      <c r="J1477" s="292"/>
      <c r="K1477" s="200"/>
      <c r="L1477" s="200"/>
      <c r="M1477" s="89" t="str">
        <f>IFERROR(VLOOKUP(H1477,Lijsten!$H$1:$I$100,2,0),"")</f>
        <v/>
      </c>
      <c r="N1477" s="89" t="str" cm="1">
        <f t="array" ref="N1477">IFERROR(_xlfn.IFS(AND(LEFT(F1477,6)="Arbeid",RIGHT(F1477,3)&lt;&gt;"IKS"),IFERROR(VLOOKUP($G1477,Tb_KostenTypen[],2,0),"tarief"),RIGHT(F1477,3)="IKS","Uurtarief",LEFT(F1477,6)="Arbeid","Uurtarief",AND(LEFT(F1477,8)="Bijdrage",RIGHT(F1477,15)="(vrijwilligers)"),"Vast tarief"),"")</f>
        <v/>
      </c>
      <c r="O1477" s="90"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0"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1"/>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59"/>
      <c r="Z1477" s="49"/>
      <c r="AA1477" s="37" t="str" cm="1">
        <f t="array" ref="AA1477">IFERROR(IF(INDEX(SubsidieTabel!$Q$1:$T$9,MATCH($F1477,SubsidieTabel!$Q$1:$Q$9,0),IFERROR(MATCH(Methode_Keuze,SubsidieTabel!$Q$1:$T$1,0),2))&lt;&gt;1=TRUE,"ja",""),"")</f>
        <v/>
      </c>
    </row>
    <row r="1478" spans="1:27" ht="15" customHeight="1" x14ac:dyDescent="0.25">
      <c r="A1478" s="85"/>
      <c r="B1478" s="217" t="str">
        <f>IF(A1478&lt;&gt;"",_xlfn.MAXIFS($B$1:B1477,$A$1:A1477,A1478)+1,"")</f>
        <v/>
      </c>
      <c r="C1478" s="50"/>
      <c r="D1478" s="50"/>
      <c r="E1478" s="50"/>
      <c r="F1478" s="50"/>
      <c r="G1478" s="280"/>
      <c r="H1478" s="293"/>
      <c r="I1478" s="292"/>
      <c r="J1478" s="292"/>
      <c r="K1478" s="200"/>
      <c r="L1478" s="200"/>
      <c r="M1478" s="89" t="str">
        <f>IFERROR(VLOOKUP(H1478,Lijsten!$H$1:$I$100,2,0),"")</f>
        <v/>
      </c>
      <c r="N1478" s="89" t="str" cm="1">
        <f t="array" ref="N1478">IFERROR(_xlfn.IFS(AND(LEFT(F1478,6)="Arbeid",RIGHT(F1478,3)&lt;&gt;"IKS"),IFERROR(VLOOKUP($G1478,Tb_KostenTypen[],2,0),"tarief"),RIGHT(F1478,3)="IKS","Uurtarief",LEFT(F1478,6)="Arbeid","Uurtarief",AND(LEFT(F1478,8)="Bijdrage",RIGHT(F1478,15)="(vrijwilligers)"),"Vast tarief"),"")</f>
        <v/>
      </c>
      <c r="O1478" s="90"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0"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1"/>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59"/>
      <c r="Z1478" s="49"/>
      <c r="AA1478" s="37" t="str" cm="1">
        <f t="array" ref="AA1478">IFERROR(IF(INDEX(SubsidieTabel!$Q$1:$T$9,MATCH($F1478,SubsidieTabel!$Q$1:$Q$9,0),IFERROR(MATCH(Methode_Keuze,SubsidieTabel!$Q$1:$T$1,0),2))&lt;&gt;1=TRUE,"ja",""),"")</f>
        <v/>
      </c>
    </row>
    <row r="1479" spans="1:27" ht="15" customHeight="1" x14ac:dyDescent="0.25">
      <c r="A1479" s="85"/>
      <c r="B1479" s="217" t="str">
        <f>IF(A1479&lt;&gt;"",_xlfn.MAXIFS($B$1:B1478,$A$1:A1478,A1479)+1,"")</f>
        <v/>
      </c>
      <c r="C1479" s="50"/>
      <c r="D1479" s="50"/>
      <c r="E1479" s="50"/>
      <c r="F1479" s="50"/>
      <c r="G1479" s="280"/>
      <c r="H1479" s="293"/>
      <c r="I1479" s="292"/>
      <c r="J1479" s="292"/>
      <c r="K1479" s="200"/>
      <c r="L1479" s="200"/>
      <c r="M1479" s="89" t="str">
        <f>IFERROR(VLOOKUP(H1479,Lijsten!$H$1:$I$100,2,0),"")</f>
        <v/>
      </c>
      <c r="N1479" s="89" t="str" cm="1">
        <f t="array" ref="N1479">IFERROR(_xlfn.IFS(AND(LEFT(F1479,6)="Arbeid",RIGHT(F1479,3)&lt;&gt;"IKS"),IFERROR(VLOOKUP($G1479,Tb_KostenTypen[],2,0),"tarief"),RIGHT(F1479,3)="IKS","Uurtarief",LEFT(F1479,6)="Arbeid","Uurtarief",AND(LEFT(F1479,8)="Bijdrage",RIGHT(F1479,15)="(vrijwilligers)"),"Vast tarief"),"")</f>
        <v/>
      </c>
      <c r="O1479" s="90"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0"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1"/>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59"/>
      <c r="Z1479" s="49"/>
      <c r="AA1479" s="37" t="str" cm="1">
        <f t="array" ref="AA1479">IFERROR(IF(INDEX(SubsidieTabel!$Q$1:$T$9,MATCH($F1479,SubsidieTabel!$Q$1:$Q$9,0),IFERROR(MATCH(Methode_Keuze,SubsidieTabel!$Q$1:$T$1,0),2))&lt;&gt;1=TRUE,"ja",""),"")</f>
        <v/>
      </c>
    </row>
    <row r="1480" spans="1:27" ht="15" customHeight="1" x14ac:dyDescent="0.25">
      <c r="A1480" s="85"/>
      <c r="B1480" s="217" t="str">
        <f>IF(A1480&lt;&gt;"",_xlfn.MAXIFS($B$1:B1479,$A$1:A1479,A1480)+1,"")</f>
        <v/>
      </c>
      <c r="C1480" s="50"/>
      <c r="D1480" s="50"/>
      <c r="E1480" s="50"/>
      <c r="F1480" s="50"/>
      <c r="G1480" s="280"/>
      <c r="H1480" s="293"/>
      <c r="I1480" s="292"/>
      <c r="J1480" s="292"/>
      <c r="K1480" s="200"/>
      <c r="L1480" s="200"/>
      <c r="M1480" s="89" t="str">
        <f>IFERROR(VLOOKUP(H1480,Lijsten!$H$1:$I$100,2,0),"")</f>
        <v/>
      </c>
      <c r="N1480" s="89" t="str" cm="1">
        <f t="array" ref="N1480">IFERROR(_xlfn.IFS(AND(LEFT(F1480,6)="Arbeid",RIGHT(F1480,3)&lt;&gt;"IKS"),IFERROR(VLOOKUP($G1480,Tb_KostenTypen[],2,0),"tarief"),RIGHT(F1480,3)="IKS","Uurtarief",LEFT(F1480,6)="Arbeid","Uurtarief",AND(LEFT(F1480,8)="Bijdrage",RIGHT(F1480,15)="(vrijwilligers)"),"Vast tarief"),"")</f>
        <v/>
      </c>
      <c r="O1480" s="90"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0"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1"/>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59"/>
      <c r="Z1480" s="49"/>
      <c r="AA1480" s="37" t="str" cm="1">
        <f t="array" ref="AA1480">IFERROR(IF(INDEX(SubsidieTabel!$Q$1:$T$9,MATCH($F1480,SubsidieTabel!$Q$1:$Q$9,0),IFERROR(MATCH(Methode_Keuze,SubsidieTabel!$Q$1:$T$1,0),2))&lt;&gt;1=TRUE,"ja",""),"")</f>
        <v/>
      </c>
    </row>
    <row r="1481" spans="1:27" ht="15" customHeight="1" x14ac:dyDescent="0.25">
      <c r="A1481" s="85"/>
      <c r="B1481" s="217" t="str">
        <f>IF(A1481&lt;&gt;"",_xlfn.MAXIFS($B$1:B1480,$A$1:A1480,A1481)+1,"")</f>
        <v/>
      </c>
      <c r="C1481" s="50"/>
      <c r="D1481" s="50"/>
      <c r="E1481" s="50"/>
      <c r="F1481" s="50"/>
      <c r="G1481" s="280"/>
      <c r="H1481" s="293"/>
      <c r="I1481" s="292"/>
      <c r="J1481" s="292"/>
      <c r="K1481" s="200"/>
      <c r="L1481" s="200"/>
      <c r="M1481" s="89" t="str">
        <f>IFERROR(VLOOKUP(H1481,Lijsten!$H$1:$I$100,2,0),"")</f>
        <v/>
      </c>
      <c r="N1481" s="89" t="str" cm="1">
        <f t="array" ref="N1481">IFERROR(_xlfn.IFS(AND(LEFT(F1481,6)="Arbeid",RIGHT(F1481,3)&lt;&gt;"IKS"),IFERROR(VLOOKUP($G1481,Tb_KostenTypen[],2,0),"tarief"),RIGHT(F1481,3)="IKS","Uurtarief",LEFT(F1481,6)="Arbeid","Uurtarief",AND(LEFT(F1481,8)="Bijdrage",RIGHT(F1481,15)="(vrijwilligers)"),"Vast tarief"),"")</f>
        <v/>
      </c>
      <c r="O1481" s="90"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0"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1"/>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59"/>
      <c r="Z1481" s="49"/>
      <c r="AA1481" s="37" t="str" cm="1">
        <f t="array" ref="AA1481">IFERROR(IF(INDEX(SubsidieTabel!$Q$1:$T$9,MATCH($F1481,SubsidieTabel!$Q$1:$Q$9,0),IFERROR(MATCH(Methode_Keuze,SubsidieTabel!$Q$1:$T$1,0),2))&lt;&gt;1=TRUE,"ja",""),"")</f>
        <v/>
      </c>
    </row>
    <row r="1482" spans="1:27" ht="15" customHeight="1" x14ac:dyDescent="0.25">
      <c r="A1482" s="85"/>
      <c r="B1482" s="217" t="str">
        <f>IF(A1482&lt;&gt;"",_xlfn.MAXIFS($B$1:B1481,$A$1:A1481,A1482)+1,"")</f>
        <v/>
      </c>
      <c r="C1482" s="50"/>
      <c r="D1482" s="50"/>
      <c r="E1482" s="50"/>
      <c r="F1482" s="50"/>
      <c r="G1482" s="280"/>
      <c r="H1482" s="293"/>
      <c r="I1482" s="292"/>
      <c r="J1482" s="292"/>
      <c r="K1482" s="200"/>
      <c r="L1482" s="200"/>
      <c r="M1482" s="89" t="str">
        <f>IFERROR(VLOOKUP(H1482,Lijsten!$H$1:$I$100,2,0),"")</f>
        <v/>
      </c>
      <c r="N1482" s="89" t="str" cm="1">
        <f t="array" ref="N1482">IFERROR(_xlfn.IFS(AND(LEFT(F1482,6)="Arbeid",RIGHT(F1482,3)&lt;&gt;"IKS"),IFERROR(VLOOKUP($G1482,Tb_KostenTypen[],2,0),"tarief"),RIGHT(F1482,3)="IKS","Uurtarief",LEFT(F1482,6)="Arbeid","Uurtarief",AND(LEFT(F1482,8)="Bijdrage",RIGHT(F1482,15)="(vrijwilligers)"),"Vast tarief"),"")</f>
        <v/>
      </c>
      <c r="O1482" s="90"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0"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1"/>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59"/>
      <c r="Z1482" s="49"/>
      <c r="AA1482" s="37" t="str" cm="1">
        <f t="array" ref="AA1482">IFERROR(IF(INDEX(SubsidieTabel!$Q$1:$T$9,MATCH($F1482,SubsidieTabel!$Q$1:$Q$9,0),IFERROR(MATCH(Methode_Keuze,SubsidieTabel!$Q$1:$T$1,0),2))&lt;&gt;1=TRUE,"ja",""),"")</f>
        <v/>
      </c>
    </row>
    <row r="1483" spans="1:27" ht="15" customHeight="1" x14ac:dyDescent="0.25">
      <c r="A1483" s="85"/>
      <c r="B1483" s="217" t="str">
        <f>IF(A1483&lt;&gt;"",_xlfn.MAXIFS($B$1:B1482,$A$1:A1482,A1483)+1,"")</f>
        <v/>
      </c>
      <c r="C1483" s="50"/>
      <c r="D1483" s="50"/>
      <c r="E1483" s="50"/>
      <c r="F1483" s="50"/>
      <c r="G1483" s="280"/>
      <c r="H1483" s="293"/>
      <c r="I1483" s="292"/>
      <c r="J1483" s="292"/>
      <c r="K1483" s="200"/>
      <c r="L1483" s="200"/>
      <c r="M1483" s="89" t="str">
        <f>IFERROR(VLOOKUP(H1483,Lijsten!$H$1:$I$100,2,0),"")</f>
        <v/>
      </c>
      <c r="N1483" s="89" t="str" cm="1">
        <f t="array" ref="N1483">IFERROR(_xlfn.IFS(AND(LEFT(F1483,6)="Arbeid",RIGHT(F1483,3)&lt;&gt;"IKS"),IFERROR(VLOOKUP($G1483,Tb_KostenTypen[],2,0),"tarief"),RIGHT(F1483,3)="IKS","Uurtarief",LEFT(F1483,6)="Arbeid","Uurtarief",AND(LEFT(F1483,8)="Bijdrage",RIGHT(F1483,15)="(vrijwilligers)"),"Vast tarief"),"")</f>
        <v/>
      </c>
      <c r="O1483" s="90"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0"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1"/>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59"/>
      <c r="Z1483" s="49"/>
      <c r="AA1483" s="37" t="str" cm="1">
        <f t="array" ref="AA1483">IFERROR(IF(INDEX(SubsidieTabel!$Q$1:$T$9,MATCH($F1483,SubsidieTabel!$Q$1:$Q$9,0),IFERROR(MATCH(Methode_Keuze,SubsidieTabel!$Q$1:$T$1,0),2))&lt;&gt;1=TRUE,"ja",""),"")</f>
        <v/>
      </c>
    </row>
    <row r="1484" spans="1:27" ht="15" customHeight="1" x14ac:dyDescent="0.25">
      <c r="A1484" s="85"/>
      <c r="B1484" s="217" t="str">
        <f>IF(A1484&lt;&gt;"",_xlfn.MAXIFS($B$1:B1483,$A$1:A1483,A1484)+1,"")</f>
        <v/>
      </c>
      <c r="C1484" s="50"/>
      <c r="D1484" s="50"/>
      <c r="E1484" s="50"/>
      <c r="F1484" s="50"/>
      <c r="G1484" s="280"/>
      <c r="H1484" s="293"/>
      <c r="I1484" s="292"/>
      <c r="J1484" s="292"/>
      <c r="K1484" s="200"/>
      <c r="L1484" s="200"/>
      <c r="M1484" s="89" t="str">
        <f>IFERROR(VLOOKUP(H1484,Lijsten!$H$1:$I$100,2,0),"")</f>
        <v/>
      </c>
      <c r="N1484" s="89" t="str" cm="1">
        <f t="array" ref="N1484">IFERROR(_xlfn.IFS(AND(LEFT(F1484,6)="Arbeid",RIGHT(F1484,3)&lt;&gt;"IKS"),IFERROR(VLOOKUP($G1484,Tb_KostenTypen[],2,0),"tarief"),RIGHT(F1484,3)="IKS","Uurtarief",LEFT(F1484,6)="Arbeid","Uurtarief",AND(LEFT(F1484,8)="Bijdrage",RIGHT(F1484,15)="(vrijwilligers)"),"Vast tarief"),"")</f>
        <v/>
      </c>
      <c r="O1484" s="90"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0"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1"/>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59"/>
      <c r="Z1484" s="49"/>
      <c r="AA1484" s="37" t="str" cm="1">
        <f t="array" ref="AA1484">IFERROR(IF(INDEX(SubsidieTabel!$Q$1:$T$9,MATCH($F1484,SubsidieTabel!$Q$1:$Q$9,0),IFERROR(MATCH(Methode_Keuze,SubsidieTabel!$Q$1:$T$1,0),2))&lt;&gt;1=TRUE,"ja",""),"")</f>
        <v/>
      </c>
    </row>
    <row r="1485" spans="1:27" ht="15" customHeight="1" x14ac:dyDescent="0.25">
      <c r="A1485" s="85"/>
      <c r="B1485" s="217" t="str">
        <f>IF(A1485&lt;&gt;"",_xlfn.MAXIFS($B$1:B1484,$A$1:A1484,A1485)+1,"")</f>
        <v/>
      </c>
      <c r="C1485" s="50"/>
      <c r="D1485" s="50"/>
      <c r="E1485" s="50"/>
      <c r="F1485" s="50"/>
      <c r="G1485" s="280"/>
      <c r="H1485" s="293"/>
      <c r="I1485" s="292"/>
      <c r="J1485" s="292"/>
      <c r="K1485" s="200"/>
      <c r="L1485" s="200"/>
      <c r="M1485" s="89" t="str">
        <f>IFERROR(VLOOKUP(H1485,Lijsten!$H$1:$I$100,2,0),"")</f>
        <v/>
      </c>
      <c r="N1485" s="89" t="str" cm="1">
        <f t="array" ref="N1485">IFERROR(_xlfn.IFS(AND(LEFT(F1485,6)="Arbeid",RIGHT(F1485,3)&lt;&gt;"IKS"),IFERROR(VLOOKUP($G1485,Tb_KostenTypen[],2,0),"tarief"),RIGHT(F1485,3)="IKS","Uurtarief",LEFT(F1485,6)="Arbeid","Uurtarief",AND(LEFT(F1485,8)="Bijdrage",RIGHT(F1485,15)="(vrijwilligers)"),"Vast tarief"),"")</f>
        <v/>
      </c>
      <c r="O1485" s="90"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0"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1"/>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59"/>
      <c r="Z1485" s="49"/>
      <c r="AA1485" s="37" t="str" cm="1">
        <f t="array" ref="AA1485">IFERROR(IF(INDEX(SubsidieTabel!$Q$1:$T$9,MATCH($F1485,SubsidieTabel!$Q$1:$Q$9,0),IFERROR(MATCH(Methode_Keuze,SubsidieTabel!$Q$1:$T$1,0),2))&lt;&gt;1=TRUE,"ja",""),"")</f>
        <v/>
      </c>
    </row>
    <row r="1486" spans="1:27" ht="15" customHeight="1" x14ac:dyDescent="0.25">
      <c r="A1486" s="85"/>
      <c r="B1486" s="217" t="str">
        <f>IF(A1486&lt;&gt;"",_xlfn.MAXIFS($B$1:B1485,$A$1:A1485,A1486)+1,"")</f>
        <v/>
      </c>
      <c r="C1486" s="50"/>
      <c r="D1486" s="50"/>
      <c r="E1486" s="50"/>
      <c r="F1486" s="50"/>
      <c r="G1486" s="280"/>
      <c r="H1486" s="293"/>
      <c r="I1486" s="292"/>
      <c r="J1486" s="292"/>
      <c r="K1486" s="200"/>
      <c r="L1486" s="200"/>
      <c r="M1486" s="89" t="str">
        <f>IFERROR(VLOOKUP(H1486,Lijsten!$H$1:$I$100,2,0),"")</f>
        <v/>
      </c>
      <c r="N1486" s="89" t="str" cm="1">
        <f t="array" ref="N1486">IFERROR(_xlfn.IFS(AND(LEFT(F1486,6)="Arbeid",RIGHT(F1486,3)&lt;&gt;"IKS"),IFERROR(VLOOKUP($G1486,Tb_KostenTypen[],2,0),"tarief"),RIGHT(F1486,3)="IKS","Uurtarief",LEFT(F1486,6)="Arbeid","Uurtarief",AND(LEFT(F1486,8)="Bijdrage",RIGHT(F1486,15)="(vrijwilligers)"),"Vast tarief"),"")</f>
        <v/>
      </c>
      <c r="O1486" s="90"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0"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1"/>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59"/>
      <c r="Z1486" s="49"/>
      <c r="AA1486" s="37" t="str" cm="1">
        <f t="array" ref="AA1486">IFERROR(IF(INDEX(SubsidieTabel!$Q$1:$T$9,MATCH($F1486,SubsidieTabel!$Q$1:$Q$9,0),IFERROR(MATCH(Methode_Keuze,SubsidieTabel!$Q$1:$T$1,0),2))&lt;&gt;1=TRUE,"ja",""),"")</f>
        <v/>
      </c>
    </row>
    <row r="1487" spans="1:27" ht="15" customHeight="1" x14ac:dyDescent="0.25">
      <c r="A1487" s="85"/>
      <c r="B1487" s="217" t="str">
        <f>IF(A1487&lt;&gt;"",_xlfn.MAXIFS($B$1:B1486,$A$1:A1486,A1487)+1,"")</f>
        <v/>
      </c>
      <c r="C1487" s="50"/>
      <c r="D1487" s="50"/>
      <c r="E1487" s="50"/>
      <c r="F1487" s="50"/>
      <c r="G1487" s="280"/>
      <c r="H1487" s="293"/>
      <c r="I1487" s="292"/>
      <c r="J1487" s="292"/>
      <c r="K1487" s="200"/>
      <c r="L1487" s="200"/>
      <c r="M1487" s="89" t="str">
        <f>IFERROR(VLOOKUP(H1487,Lijsten!$H$1:$I$100,2,0),"")</f>
        <v/>
      </c>
      <c r="N1487" s="89" t="str" cm="1">
        <f t="array" ref="N1487">IFERROR(_xlfn.IFS(AND(LEFT(F1487,6)="Arbeid",RIGHT(F1487,3)&lt;&gt;"IKS"),IFERROR(VLOOKUP($G1487,Tb_KostenTypen[],2,0),"tarief"),RIGHT(F1487,3)="IKS","Uurtarief",LEFT(F1487,6)="Arbeid","Uurtarief",AND(LEFT(F1487,8)="Bijdrage",RIGHT(F1487,15)="(vrijwilligers)"),"Vast tarief"),"")</f>
        <v/>
      </c>
      <c r="O1487" s="90"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0"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1"/>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59"/>
      <c r="Z1487" s="49"/>
      <c r="AA1487" s="37" t="str" cm="1">
        <f t="array" ref="AA1487">IFERROR(IF(INDEX(SubsidieTabel!$Q$1:$T$9,MATCH($F1487,SubsidieTabel!$Q$1:$Q$9,0),IFERROR(MATCH(Methode_Keuze,SubsidieTabel!$Q$1:$T$1,0),2))&lt;&gt;1=TRUE,"ja",""),"")</f>
        <v/>
      </c>
    </row>
    <row r="1488" spans="1:27" ht="15" customHeight="1" x14ac:dyDescent="0.25">
      <c r="A1488" s="85"/>
      <c r="B1488" s="217" t="str">
        <f>IF(A1488&lt;&gt;"",_xlfn.MAXIFS($B$1:B1487,$A$1:A1487,A1488)+1,"")</f>
        <v/>
      </c>
      <c r="C1488" s="50"/>
      <c r="D1488" s="50"/>
      <c r="E1488" s="50"/>
      <c r="F1488" s="50"/>
      <c r="G1488" s="280"/>
      <c r="H1488" s="293"/>
      <c r="I1488" s="292"/>
      <c r="J1488" s="292"/>
      <c r="K1488" s="200"/>
      <c r="L1488" s="200"/>
      <c r="M1488" s="89" t="str">
        <f>IFERROR(VLOOKUP(H1488,Lijsten!$H$1:$I$100,2,0),"")</f>
        <v/>
      </c>
      <c r="N1488" s="89" t="str" cm="1">
        <f t="array" ref="N1488">IFERROR(_xlfn.IFS(AND(LEFT(F1488,6)="Arbeid",RIGHT(F1488,3)&lt;&gt;"IKS"),IFERROR(VLOOKUP($G1488,Tb_KostenTypen[],2,0),"tarief"),RIGHT(F1488,3)="IKS","Uurtarief",LEFT(F1488,6)="Arbeid","Uurtarief",AND(LEFT(F1488,8)="Bijdrage",RIGHT(F1488,15)="(vrijwilligers)"),"Vast tarief"),"")</f>
        <v/>
      </c>
      <c r="O1488" s="90"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0"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1"/>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59"/>
      <c r="Z1488" s="49"/>
      <c r="AA1488" s="37" t="str" cm="1">
        <f t="array" ref="AA1488">IFERROR(IF(INDEX(SubsidieTabel!$Q$1:$T$9,MATCH($F1488,SubsidieTabel!$Q$1:$Q$9,0),IFERROR(MATCH(Methode_Keuze,SubsidieTabel!$Q$1:$T$1,0),2))&lt;&gt;1=TRUE,"ja",""),"")</f>
        <v/>
      </c>
    </row>
    <row r="1489" spans="1:27" ht="15" customHeight="1" x14ac:dyDescent="0.25">
      <c r="A1489" s="85"/>
      <c r="B1489" s="217" t="str">
        <f>IF(A1489&lt;&gt;"",_xlfn.MAXIFS($B$1:B1488,$A$1:A1488,A1489)+1,"")</f>
        <v/>
      </c>
      <c r="C1489" s="50"/>
      <c r="D1489" s="50"/>
      <c r="E1489" s="50"/>
      <c r="F1489" s="50"/>
      <c r="G1489" s="280"/>
      <c r="H1489" s="293"/>
      <c r="I1489" s="292"/>
      <c r="J1489" s="292"/>
      <c r="K1489" s="200"/>
      <c r="L1489" s="200"/>
      <c r="M1489" s="89" t="str">
        <f>IFERROR(VLOOKUP(H1489,Lijsten!$H$1:$I$100,2,0),"")</f>
        <v/>
      </c>
      <c r="N1489" s="89" t="str" cm="1">
        <f t="array" ref="N1489">IFERROR(_xlfn.IFS(AND(LEFT(F1489,6)="Arbeid",RIGHT(F1489,3)&lt;&gt;"IKS"),IFERROR(VLOOKUP($G1489,Tb_KostenTypen[],2,0),"tarief"),RIGHT(F1489,3)="IKS","Uurtarief",LEFT(F1489,6)="Arbeid","Uurtarief",AND(LEFT(F1489,8)="Bijdrage",RIGHT(F1489,15)="(vrijwilligers)"),"Vast tarief"),"")</f>
        <v/>
      </c>
      <c r="O1489" s="90"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0"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1"/>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59"/>
      <c r="Z1489" s="49"/>
      <c r="AA1489" s="37" t="str" cm="1">
        <f t="array" ref="AA1489">IFERROR(IF(INDEX(SubsidieTabel!$Q$1:$T$9,MATCH($F1489,SubsidieTabel!$Q$1:$Q$9,0),IFERROR(MATCH(Methode_Keuze,SubsidieTabel!$Q$1:$T$1,0),2))&lt;&gt;1=TRUE,"ja",""),"")</f>
        <v/>
      </c>
    </row>
    <row r="1490" spans="1:27" ht="15" customHeight="1" x14ac:dyDescent="0.25">
      <c r="A1490" s="85"/>
      <c r="B1490" s="217" t="str">
        <f>IF(A1490&lt;&gt;"",_xlfn.MAXIFS($B$1:B1489,$A$1:A1489,A1490)+1,"")</f>
        <v/>
      </c>
      <c r="C1490" s="50"/>
      <c r="D1490" s="50"/>
      <c r="E1490" s="50"/>
      <c r="F1490" s="50"/>
      <c r="G1490" s="280"/>
      <c r="H1490" s="293"/>
      <c r="I1490" s="292"/>
      <c r="J1490" s="292"/>
      <c r="K1490" s="200"/>
      <c r="L1490" s="200"/>
      <c r="M1490" s="89" t="str">
        <f>IFERROR(VLOOKUP(H1490,Lijsten!$H$1:$I$100,2,0),"")</f>
        <v/>
      </c>
      <c r="N1490" s="89" t="str" cm="1">
        <f t="array" ref="N1490">IFERROR(_xlfn.IFS(AND(LEFT(F1490,6)="Arbeid",RIGHT(F1490,3)&lt;&gt;"IKS"),IFERROR(VLOOKUP($G1490,Tb_KostenTypen[],2,0),"tarief"),RIGHT(F1490,3)="IKS","Uurtarief",LEFT(F1490,6)="Arbeid","Uurtarief",AND(LEFT(F1490,8)="Bijdrage",RIGHT(F1490,15)="(vrijwilligers)"),"Vast tarief"),"")</f>
        <v/>
      </c>
      <c r="O1490" s="90"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0"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1"/>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59"/>
      <c r="Z1490" s="49"/>
      <c r="AA1490" s="37" t="str" cm="1">
        <f t="array" ref="AA1490">IFERROR(IF(INDEX(SubsidieTabel!$Q$1:$T$9,MATCH($F1490,SubsidieTabel!$Q$1:$Q$9,0),IFERROR(MATCH(Methode_Keuze,SubsidieTabel!$Q$1:$T$1,0),2))&lt;&gt;1=TRUE,"ja",""),"")</f>
        <v/>
      </c>
    </row>
    <row r="1491" spans="1:27" ht="15" customHeight="1" x14ac:dyDescent="0.25">
      <c r="A1491" s="85"/>
      <c r="B1491" s="217" t="str">
        <f>IF(A1491&lt;&gt;"",_xlfn.MAXIFS($B$1:B1490,$A$1:A1490,A1491)+1,"")</f>
        <v/>
      </c>
      <c r="C1491" s="50"/>
      <c r="D1491" s="50"/>
      <c r="E1491" s="50"/>
      <c r="F1491" s="50"/>
      <c r="G1491" s="280"/>
      <c r="H1491" s="293"/>
      <c r="I1491" s="292"/>
      <c r="J1491" s="292"/>
      <c r="K1491" s="200"/>
      <c r="L1491" s="200"/>
      <c r="M1491" s="89" t="str">
        <f>IFERROR(VLOOKUP(H1491,Lijsten!$H$1:$I$100,2,0),"")</f>
        <v/>
      </c>
      <c r="N1491" s="89" t="str" cm="1">
        <f t="array" ref="N1491">IFERROR(_xlfn.IFS(AND(LEFT(F1491,6)="Arbeid",RIGHT(F1491,3)&lt;&gt;"IKS"),IFERROR(VLOOKUP($G1491,Tb_KostenTypen[],2,0),"tarief"),RIGHT(F1491,3)="IKS","Uurtarief",LEFT(F1491,6)="Arbeid","Uurtarief",AND(LEFT(F1491,8)="Bijdrage",RIGHT(F1491,15)="(vrijwilligers)"),"Vast tarief"),"")</f>
        <v/>
      </c>
      <c r="O1491" s="90"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0"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1"/>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59"/>
      <c r="Z1491" s="49"/>
      <c r="AA1491" s="37" t="str" cm="1">
        <f t="array" ref="AA1491">IFERROR(IF(INDEX(SubsidieTabel!$Q$1:$T$9,MATCH($F1491,SubsidieTabel!$Q$1:$Q$9,0),IFERROR(MATCH(Methode_Keuze,SubsidieTabel!$Q$1:$T$1,0),2))&lt;&gt;1=TRUE,"ja",""),"")</f>
        <v/>
      </c>
    </row>
    <row r="1492" spans="1:27" ht="15" customHeight="1" x14ac:dyDescent="0.25">
      <c r="A1492" s="85"/>
      <c r="B1492" s="217" t="str">
        <f>IF(A1492&lt;&gt;"",_xlfn.MAXIFS($B$1:B1491,$A$1:A1491,A1492)+1,"")</f>
        <v/>
      </c>
      <c r="C1492" s="50"/>
      <c r="D1492" s="50"/>
      <c r="E1492" s="50"/>
      <c r="F1492" s="50"/>
      <c r="G1492" s="280"/>
      <c r="H1492" s="293"/>
      <c r="I1492" s="292"/>
      <c r="J1492" s="292"/>
      <c r="K1492" s="200"/>
      <c r="L1492" s="200"/>
      <c r="M1492" s="89" t="str">
        <f>IFERROR(VLOOKUP(H1492,Lijsten!$H$1:$I$100,2,0),"")</f>
        <v/>
      </c>
      <c r="N1492" s="89" t="str" cm="1">
        <f t="array" ref="N1492">IFERROR(_xlfn.IFS(AND(LEFT(F1492,6)="Arbeid",RIGHT(F1492,3)&lt;&gt;"IKS"),IFERROR(VLOOKUP($G1492,Tb_KostenTypen[],2,0),"tarief"),RIGHT(F1492,3)="IKS","Uurtarief",LEFT(F1492,6)="Arbeid","Uurtarief",AND(LEFT(F1492,8)="Bijdrage",RIGHT(F1492,15)="(vrijwilligers)"),"Vast tarief"),"")</f>
        <v/>
      </c>
      <c r="O1492" s="90"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0"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1"/>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59"/>
      <c r="Z1492" s="49"/>
      <c r="AA1492" s="37" t="str" cm="1">
        <f t="array" ref="AA1492">IFERROR(IF(INDEX(SubsidieTabel!$Q$1:$T$9,MATCH($F1492,SubsidieTabel!$Q$1:$Q$9,0),IFERROR(MATCH(Methode_Keuze,SubsidieTabel!$Q$1:$T$1,0),2))&lt;&gt;1=TRUE,"ja",""),"")</f>
        <v/>
      </c>
    </row>
    <row r="1493" spans="1:27" ht="15" customHeight="1" x14ac:dyDescent="0.25">
      <c r="A1493" s="85"/>
      <c r="B1493" s="217" t="str">
        <f>IF(A1493&lt;&gt;"",_xlfn.MAXIFS($B$1:B1492,$A$1:A1492,A1493)+1,"")</f>
        <v/>
      </c>
      <c r="C1493" s="50"/>
      <c r="D1493" s="50"/>
      <c r="E1493" s="50"/>
      <c r="F1493" s="50"/>
      <c r="G1493" s="280"/>
      <c r="H1493" s="293"/>
      <c r="I1493" s="292"/>
      <c r="J1493" s="292"/>
      <c r="K1493" s="200"/>
      <c r="L1493" s="200"/>
      <c r="M1493" s="89" t="str">
        <f>IFERROR(VLOOKUP(H1493,Lijsten!$H$1:$I$100,2,0),"")</f>
        <v/>
      </c>
      <c r="N1493" s="89" t="str" cm="1">
        <f t="array" ref="N1493">IFERROR(_xlfn.IFS(AND(LEFT(F1493,6)="Arbeid",RIGHT(F1493,3)&lt;&gt;"IKS"),IFERROR(VLOOKUP($G1493,Tb_KostenTypen[],2,0),"tarief"),RIGHT(F1493,3)="IKS","Uurtarief",LEFT(F1493,6)="Arbeid","Uurtarief",AND(LEFT(F1493,8)="Bijdrage",RIGHT(F1493,15)="(vrijwilligers)"),"Vast tarief"),"")</f>
        <v/>
      </c>
      <c r="O1493" s="90"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0"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1"/>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59"/>
      <c r="Z1493" s="49"/>
      <c r="AA1493" s="37" t="str" cm="1">
        <f t="array" ref="AA1493">IFERROR(IF(INDEX(SubsidieTabel!$Q$1:$T$9,MATCH($F1493,SubsidieTabel!$Q$1:$Q$9,0),IFERROR(MATCH(Methode_Keuze,SubsidieTabel!$Q$1:$T$1,0),2))&lt;&gt;1=TRUE,"ja",""),"")</f>
        <v/>
      </c>
    </row>
    <row r="1494" spans="1:27" ht="15" customHeight="1" x14ac:dyDescent="0.25">
      <c r="A1494" s="85"/>
      <c r="B1494" s="217" t="str">
        <f>IF(A1494&lt;&gt;"",_xlfn.MAXIFS($B$1:B1493,$A$1:A1493,A1494)+1,"")</f>
        <v/>
      </c>
      <c r="C1494" s="50"/>
      <c r="D1494" s="50"/>
      <c r="E1494" s="50"/>
      <c r="F1494" s="50"/>
      <c r="G1494" s="280"/>
      <c r="H1494" s="293"/>
      <c r="I1494" s="292"/>
      <c r="J1494" s="292"/>
      <c r="K1494" s="200"/>
      <c r="L1494" s="200"/>
      <c r="M1494" s="89" t="str">
        <f>IFERROR(VLOOKUP(H1494,Lijsten!$H$1:$I$100,2,0),"")</f>
        <v/>
      </c>
      <c r="N1494" s="89" t="str" cm="1">
        <f t="array" ref="N1494">IFERROR(_xlfn.IFS(AND(LEFT(F1494,6)="Arbeid",RIGHT(F1494,3)&lt;&gt;"IKS"),IFERROR(VLOOKUP($G1494,Tb_KostenTypen[],2,0),"tarief"),RIGHT(F1494,3)="IKS","Uurtarief",LEFT(F1494,6)="Arbeid","Uurtarief",AND(LEFT(F1494,8)="Bijdrage",RIGHT(F1494,15)="(vrijwilligers)"),"Vast tarief"),"")</f>
        <v/>
      </c>
      <c r="O1494" s="90"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0"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1"/>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59"/>
      <c r="Z1494" s="49"/>
      <c r="AA1494" s="37" t="str" cm="1">
        <f t="array" ref="AA1494">IFERROR(IF(INDEX(SubsidieTabel!$Q$1:$T$9,MATCH($F1494,SubsidieTabel!$Q$1:$Q$9,0),IFERROR(MATCH(Methode_Keuze,SubsidieTabel!$Q$1:$T$1,0),2))&lt;&gt;1=TRUE,"ja",""),"")</f>
        <v/>
      </c>
    </row>
    <row r="1495" spans="1:27" ht="15" customHeight="1" x14ac:dyDescent="0.25">
      <c r="A1495" s="85"/>
      <c r="B1495" s="217" t="str">
        <f>IF(A1495&lt;&gt;"",_xlfn.MAXIFS($B$1:B1494,$A$1:A1494,A1495)+1,"")</f>
        <v/>
      </c>
      <c r="C1495" s="50"/>
      <c r="D1495" s="50"/>
      <c r="E1495" s="50"/>
      <c r="F1495" s="50"/>
      <c r="G1495" s="280"/>
      <c r="H1495" s="293"/>
      <c r="I1495" s="292"/>
      <c r="J1495" s="292"/>
      <c r="K1495" s="200"/>
      <c r="L1495" s="200"/>
      <c r="M1495" s="89" t="str">
        <f>IFERROR(VLOOKUP(H1495,Lijsten!$H$1:$I$100,2,0),"")</f>
        <v/>
      </c>
      <c r="N1495" s="89" t="str" cm="1">
        <f t="array" ref="N1495">IFERROR(_xlfn.IFS(AND(LEFT(F1495,6)="Arbeid",RIGHT(F1495,3)&lt;&gt;"IKS"),IFERROR(VLOOKUP($G1495,Tb_KostenTypen[],2,0),"tarief"),RIGHT(F1495,3)="IKS","Uurtarief",LEFT(F1495,6)="Arbeid","Uurtarief",AND(LEFT(F1495,8)="Bijdrage",RIGHT(F1495,15)="(vrijwilligers)"),"Vast tarief"),"")</f>
        <v/>
      </c>
      <c r="O1495" s="90"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0"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1"/>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59"/>
      <c r="Z1495" s="49"/>
      <c r="AA1495" s="37" t="str" cm="1">
        <f t="array" ref="AA1495">IFERROR(IF(INDEX(SubsidieTabel!$Q$1:$T$9,MATCH($F1495,SubsidieTabel!$Q$1:$Q$9,0),IFERROR(MATCH(Methode_Keuze,SubsidieTabel!$Q$1:$T$1,0),2))&lt;&gt;1=TRUE,"ja",""),"")</f>
        <v/>
      </c>
    </row>
    <row r="1496" spans="1:27" ht="15" customHeight="1" x14ac:dyDescent="0.25">
      <c r="A1496" s="85"/>
      <c r="B1496" s="217" t="str">
        <f>IF(A1496&lt;&gt;"",_xlfn.MAXIFS($B$1:B1495,$A$1:A1495,A1496)+1,"")</f>
        <v/>
      </c>
      <c r="C1496" s="50"/>
      <c r="D1496" s="50"/>
      <c r="E1496" s="50"/>
      <c r="F1496" s="50"/>
      <c r="G1496" s="280"/>
      <c r="H1496" s="293"/>
      <c r="I1496" s="292"/>
      <c r="J1496" s="292"/>
      <c r="K1496" s="200"/>
      <c r="L1496" s="200"/>
      <c r="M1496" s="89" t="str">
        <f>IFERROR(VLOOKUP(H1496,Lijsten!$H$1:$I$100,2,0),"")</f>
        <v/>
      </c>
      <c r="N1496" s="89" t="str" cm="1">
        <f t="array" ref="N1496">IFERROR(_xlfn.IFS(AND(LEFT(F1496,6)="Arbeid",RIGHT(F1496,3)&lt;&gt;"IKS"),IFERROR(VLOOKUP($G1496,Tb_KostenTypen[],2,0),"tarief"),RIGHT(F1496,3)="IKS","Uurtarief",LEFT(F1496,6)="Arbeid","Uurtarief",AND(LEFT(F1496,8)="Bijdrage",RIGHT(F1496,15)="(vrijwilligers)"),"Vast tarief"),"")</f>
        <v/>
      </c>
      <c r="O1496" s="90"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0"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1"/>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59"/>
      <c r="Z1496" s="49"/>
      <c r="AA1496" s="37" t="str" cm="1">
        <f t="array" ref="AA1496">IFERROR(IF(INDEX(SubsidieTabel!$Q$1:$T$9,MATCH($F1496,SubsidieTabel!$Q$1:$Q$9,0),IFERROR(MATCH(Methode_Keuze,SubsidieTabel!$Q$1:$T$1,0),2))&lt;&gt;1=TRUE,"ja",""),"")</f>
        <v/>
      </c>
    </row>
    <row r="1497" spans="1:27" ht="15" customHeight="1" x14ac:dyDescent="0.25">
      <c r="A1497" s="85"/>
      <c r="B1497" s="217" t="str">
        <f>IF(A1497&lt;&gt;"",_xlfn.MAXIFS($B$1:B1496,$A$1:A1496,A1497)+1,"")</f>
        <v/>
      </c>
      <c r="C1497" s="50"/>
      <c r="D1497" s="50"/>
      <c r="E1497" s="50"/>
      <c r="F1497" s="50"/>
      <c r="G1497" s="280"/>
      <c r="H1497" s="293"/>
      <c r="I1497" s="292"/>
      <c r="J1497" s="292"/>
      <c r="K1497" s="200"/>
      <c r="L1497" s="200"/>
      <c r="M1497" s="89" t="str">
        <f>IFERROR(VLOOKUP(H1497,Lijsten!$H$1:$I$100,2,0),"")</f>
        <v/>
      </c>
      <c r="N1497" s="89" t="str" cm="1">
        <f t="array" ref="N1497">IFERROR(_xlfn.IFS(AND(LEFT(F1497,6)="Arbeid",RIGHT(F1497,3)&lt;&gt;"IKS"),IFERROR(VLOOKUP($G1497,Tb_KostenTypen[],2,0),"tarief"),RIGHT(F1497,3)="IKS","Uurtarief",LEFT(F1497,6)="Arbeid","Uurtarief",AND(LEFT(F1497,8)="Bijdrage",RIGHT(F1497,15)="(vrijwilligers)"),"Vast tarief"),"")</f>
        <v/>
      </c>
      <c r="O1497" s="90"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0"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1"/>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59"/>
      <c r="Z1497" s="49"/>
      <c r="AA1497" s="37" t="str" cm="1">
        <f t="array" ref="AA1497">IFERROR(IF(INDEX(SubsidieTabel!$Q$1:$T$9,MATCH($F1497,SubsidieTabel!$Q$1:$Q$9,0),IFERROR(MATCH(Methode_Keuze,SubsidieTabel!$Q$1:$T$1,0),2))&lt;&gt;1=TRUE,"ja",""),"")</f>
        <v/>
      </c>
    </row>
    <row r="1498" spans="1:27" ht="15" customHeight="1" x14ac:dyDescent="0.25">
      <c r="A1498" s="85"/>
      <c r="B1498" s="217" t="str">
        <f>IF(A1498&lt;&gt;"",_xlfn.MAXIFS($B$1:B1497,$A$1:A1497,A1498)+1,"")</f>
        <v/>
      </c>
      <c r="C1498" s="50"/>
      <c r="D1498" s="50"/>
      <c r="E1498" s="50"/>
      <c r="F1498" s="50"/>
      <c r="G1498" s="280"/>
      <c r="H1498" s="293"/>
      <c r="I1498" s="292"/>
      <c r="J1498" s="292"/>
      <c r="K1498" s="200"/>
      <c r="L1498" s="200"/>
      <c r="M1498" s="89" t="str">
        <f>IFERROR(VLOOKUP(H1498,Lijsten!$H$1:$I$100,2,0),"")</f>
        <v/>
      </c>
      <c r="N1498" s="89" t="str" cm="1">
        <f t="array" ref="N1498">IFERROR(_xlfn.IFS(AND(LEFT(F1498,6)="Arbeid",RIGHT(F1498,3)&lt;&gt;"IKS"),IFERROR(VLOOKUP($G1498,Tb_KostenTypen[],2,0),"tarief"),RIGHT(F1498,3)="IKS","Uurtarief",LEFT(F1498,6)="Arbeid","Uurtarief",AND(LEFT(F1498,8)="Bijdrage",RIGHT(F1498,15)="(vrijwilligers)"),"Vast tarief"),"")</f>
        <v/>
      </c>
      <c r="O1498" s="90"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0"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1"/>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59"/>
      <c r="Z1498" s="49"/>
      <c r="AA1498" s="37" t="str" cm="1">
        <f t="array" ref="AA1498">IFERROR(IF(INDEX(SubsidieTabel!$Q$1:$T$9,MATCH($F1498,SubsidieTabel!$Q$1:$Q$9,0),IFERROR(MATCH(Methode_Keuze,SubsidieTabel!$Q$1:$T$1,0),2))&lt;&gt;1=TRUE,"ja",""),"")</f>
        <v/>
      </c>
    </row>
    <row r="1499" spans="1:27" ht="15" customHeight="1" x14ac:dyDescent="0.25">
      <c r="A1499" s="85"/>
      <c r="B1499" s="217" t="str">
        <f>IF(A1499&lt;&gt;"",_xlfn.MAXIFS($B$1:B1498,$A$1:A1498,A1499)+1,"")</f>
        <v/>
      </c>
      <c r="C1499" s="50"/>
      <c r="D1499" s="50"/>
      <c r="E1499" s="50"/>
      <c r="F1499" s="50"/>
      <c r="G1499" s="280"/>
      <c r="H1499" s="293"/>
      <c r="I1499" s="292"/>
      <c r="J1499" s="292"/>
      <c r="K1499" s="200"/>
      <c r="L1499" s="200"/>
      <c r="M1499" s="89" t="str">
        <f>IFERROR(VLOOKUP(H1499,Lijsten!$H$1:$I$100,2,0),"")</f>
        <v/>
      </c>
      <c r="N1499" s="89" t="str" cm="1">
        <f t="array" ref="N1499">IFERROR(_xlfn.IFS(AND(LEFT(F1499,6)="Arbeid",RIGHT(F1499,3)&lt;&gt;"IKS"),IFERROR(VLOOKUP($G1499,Tb_KostenTypen[],2,0),"tarief"),RIGHT(F1499,3)="IKS","Uurtarief",LEFT(F1499,6)="Arbeid","Uurtarief",AND(LEFT(F1499,8)="Bijdrage",RIGHT(F1499,15)="(vrijwilligers)"),"Vast tarief"),"")</f>
        <v/>
      </c>
      <c r="O1499" s="90"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0"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1"/>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59"/>
      <c r="Z1499" s="49"/>
      <c r="AA1499" s="37" t="str" cm="1">
        <f t="array" ref="AA1499">IFERROR(IF(INDEX(SubsidieTabel!$Q$1:$T$9,MATCH($F1499,SubsidieTabel!$Q$1:$Q$9,0),IFERROR(MATCH(Methode_Keuze,SubsidieTabel!$Q$1:$T$1,0),2))&lt;&gt;1=TRUE,"ja",""),"")</f>
        <v/>
      </c>
    </row>
    <row r="1500" spans="1:27" ht="15" customHeight="1" x14ac:dyDescent="0.25">
      <c r="A1500" s="85"/>
      <c r="B1500" s="217" t="str">
        <f>IF(A1500&lt;&gt;"",_xlfn.MAXIFS($B$1:B1499,$A$1:A1499,A1500)+1,"")</f>
        <v/>
      </c>
      <c r="C1500" s="50"/>
      <c r="D1500" s="50"/>
      <c r="E1500" s="50"/>
      <c r="F1500" s="50"/>
      <c r="G1500" s="280"/>
      <c r="H1500" s="293"/>
      <c r="I1500" s="292"/>
      <c r="J1500" s="292"/>
      <c r="K1500" s="200"/>
      <c r="L1500" s="200"/>
      <c r="M1500" s="89" t="str">
        <f>IFERROR(VLOOKUP(H1500,Lijsten!$H$1:$I$100,2,0),"")</f>
        <v/>
      </c>
      <c r="N1500" s="89" t="str" cm="1">
        <f t="array" ref="N1500">IFERROR(_xlfn.IFS(AND(LEFT(F1500,6)="Arbeid",RIGHT(F1500,3)&lt;&gt;"IKS"),IFERROR(VLOOKUP($G1500,Tb_KostenTypen[],2,0),"tarief"),RIGHT(F1500,3)="IKS","Uurtarief",LEFT(F1500,6)="Arbeid","Uurtarief",AND(LEFT(F1500,8)="Bijdrage",RIGHT(F1500,15)="(vrijwilligers)"),"Vast tarief"),"")</f>
        <v/>
      </c>
      <c r="O1500" s="90"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0"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1"/>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59"/>
      <c r="Z1500" s="49"/>
      <c r="AA1500" s="37" t="str" cm="1">
        <f t="array" ref="AA1500">IFERROR(IF(INDEX(SubsidieTabel!$Q$1:$T$9,MATCH($F1500,SubsidieTabel!$Q$1:$Q$9,0),IFERROR(MATCH(Methode_Keuze,SubsidieTabel!$Q$1:$T$1,0),2))&lt;&gt;1=TRUE,"ja",""),"")</f>
        <v/>
      </c>
    </row>
    <row r="1501" spans="1:27" ht="15" customHeight="1" x14ac:dyDescent="0.25">
      <c r="A1501" s="85"/>
      <c r="B1501" s="217" t="str">
        <f>IF(A1501&lt;&gt;"",_xlfn.MAXIFS($B$1:B1500,$A$1:A1500,A1501)+1,"")</f>
        <v/>
      </c>
      <c r="C1501" s="50"/>
      <c r="D1501" s="50"/>
      <c r="E1501" s="50"/>
      <c r="F1501" s="50"/>
      <c r="G1501" s="280"/>
      <c r="H1501" s="293"/>
      <c r="I1501" s="292"/>
      <c r="J1501" s="292"/>
      <c r="K1501" s="200"/>
      <c r="L1501" s="200"/>
      <c r="M1501" s="89" t="str">
        <f>IFERROR(VLOOKUP(H1501,Lijsten!$H$1:$I$100,2,0),"")</f>
        <v/>
      </c>
      <c r="N1501" s="89" t="str" cm="1">
        <f t="array" ref="N1501">IFERROR(_xlfn.IFS(AND(LEFT(F1501,6)="Arbeid",RIGHT(F1501,3)&lt;&gt;"IKS"),IFERROR(VLOOKUP($G1501,Tb_KostenTypen[],2,0),"tarief"),RIGHT(F1501,3)="IKS","Uurtarief",LEFT(F1501,6)="Arbeid","Uurtarief",AND(LEFT(F1501,8)="Bijdrage",RIGHT(F1501,15)="(vrijwilligers)"),"Vast tarief"),"")</f>
        <v/>
      </c>
      <c r="O1501" s="90"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0"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1"/>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59"/>
      <c r="Z1501" s="49"/>
      <c r="AA1501" s="37" t="str" cm="1">
        <f t="array" ref="AA1501">IFERROR(IF(INDEX(SubsidieTabel!$Q$1:$T$9,MATCH($F1501,SubsidieTabel!$Q$1:$Q$9,0),IFERROR(MATCH(Methode_Keuze,SubsidieTabel!$Q$1:$T$1,0),2))&lt;&gt;1=TRUE,"ja",""),"")</f>
        <v/>
      </c>
    </row>
    <row r="1502" spans="1:27" ht="15" customHeight="1" x14ac:dyDescent="0.25">
      <c r="A1502" s="85"/>
      <c r="B1502" s="217" t="str">
        <f>IF(A1502&lt;&gt;"",_xlfn.MAXIFS($B$1:B1501,$A$1:A1501,A1502)+1,"")</f>
        <v/>
      </c>
      <c r="C1502" s="50"/>
      <c r="D1502" s="50"/>
      <c r="E1502" s="50"/>
      <c r="F1502" s="50"/>
      <c r="G1502" s="280"/>
      <c r="H1502" s="293"/>
      <c r="I1502" s="292"/>
      <c r="J1502" s="292"/>
      <c r="K1502" s="200"/>
      <c r="L1502" s="200"/>
      <c r="M1502" s="89" t="str">
        <f>IFERROR(VLOOKUP(H1502,Lijsten!$H$1:$I$100,2,0),"")</f>
        <v/>
      </c>
      <c r="N1502" s="89" t="str" cm="1">
        <f t="array" ref="N1502">IFERROR(_xlfn.IFS(AND(LEFT(F1502,6)="Arbeid",RIGHT(F1502,3)&lt;&gt;"IKS"),IFERROR(VLOOKUP($G1502,Tb_KostenTypen[],2,0),"tarief"),RIGHT(F1502,3)="IKS","Uurtarief",LEFT(F1502,6)="Arbeid","Uurtarief",AND(LEFT(F1502,8)="Bijdrage",RIGHT(F1502,15)="(vrijwilligers)"),"Vast tarief"),"")</f>
        <v/>
      </c>
      <c r="O1502" s="90"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0"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1"/>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59"/>
      <c r="Z1502" s="49"/>
      <c r="AA1502" s="37" t="str" cm="1">
        <f t="array" ref="AA1502">IFERROR(IF(INDEX(SubsidieTabel!$Q$1:$T$9,MATCH($F1502,SubsidieTabel!$Q$1:$Q$9,0),IFERROR(MATCH(Methode_Keuze,SubsidieTabel!$Q$1:$T$1,0),2))&lt;&gt;1=TRUE,"ja",""),"")</f>
        <v/>
      </c>
    </row>
    <row r="1503" spans="1:27" ht="15" customHeight="1" x14ac:dyDescent="0.25">
      <c r="A1503" s="85"/>
      <c r="B1503" s="217" t="str">
        <f>IF(A1503&lt;&gt;"",_xlfn.MAXIFS($B$1:B1502,$A$1:A1502,A1503)+1,"")</f>
        <v/>
      </c>
      <c r="C1503" s="50"/>
      <c r="D1503" s="50"/>
      <c r="E1503" s="50"/>
      <c r="F1503" s="50"/>
      <c r="G1503" s="280"/>
      <c r="H1503" s="293"/>
      <c r="I1503" s="292"/>
      <c r="J1503" s="292"/>
      <c r="K1503" s="200"/>
      <c r="L1503" s="200"/>
      <c r="M1503" s="89" t="str">
        <f>IFERROR(VLOOKUP(H1503,Lijsten!$H$1:$I$100,2,0),"")</f>
        <v/>
      </c>
      <c r="N1503" s="89" t="str" cm="1">
        <f t="array" ref="N1503">IFERROR(_xlfn.IFS(AND(LEFT(F1503,6)="Arbeid",RIGHT(F1503,3)&lt;&gt;"IKS"),IFERROR(VLOOKUP($G1503,Tb_KostenTypen[],2,0),"tarief"),RIGHT(F1503,3)="IKS","Uurtarief",LEFT(F1503,6)="Arbeid","Uurtarief",AND(LEFT(F1503,8)="Bijdrage",RIGHT(F1503,15)="(vrijwilligers)"),"Vast tarief"),"")</f>
        <v/>
      </c>
      <c r="O1503" s="90"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0"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1"/>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59"/>
      <c r="Z1503" s="49"/>
      <c r="AA1503" s="37" t="str" cm="1">
        <f t="array" ref="AA1503">IFERROR(IF(INDEX(SubsidieTabel!$Q$1:$T$9,MATCH($F1503,SubsidieTabel!$Q$1:$Q$9,0),IFERROR(MATCH(Methode_Keuze,SubsidieTabel!$Q$1:$T$1,0),2))&lt;&gt;1=TRUE,"ja",""),"")</f>
        <v/>
      </c>
    </row>
    <row r="1504" spans="1:27" ht="15" customHeight="1" x14ac:dyDescent="0.25">
      <c r="A1504" s="85"/>
      <c r="B1504" s="217" t="str">
        <f>IF(A1504&lt;&gt;"",_xlfn.MAXIFS($B$1:B1503,$A$1:A1503,A1504)+1,"")</f>
        <v/>
      </c>
      <c r="C1504" s="50"/>
      <c r="D1504" s="50"/>
      <c r="E1504" s="50"/>
      <c r="F1504" s="50"/>
      <c r="G1504" s="280"/>
      <c r="H1504" s="293"/>
      <c r="I1504" s="292"/>
      <c r="J1504" s="292"/>
      <c r="K1504" s="200"/>
      <c r="L1504" s="200"/>
      <c r="M1504" s="89" t="str">
        <f>IFERROR(VLOOKUP(H1504,Lijsten!$H$1:$I$100,2,0),"")</f>
        <v/>
      </c>
      <c r="N1504" s="89" t="str" cm="1">
        <f t="array" ref="N1504">IFERROR(_xlfn.IFS(AND(LEFT(F1504,6)="Arbeid",RIGHT(F1504,3)&lt;&gt;"IKS"),IFERROR(VLOOKUP($G1504,Tb_KostenTypen[],2,0),"tarief"),RIGHT(F1504,3)="IKS","Uurtarief",LEFT(F1504,6)="Arbeid","Uurtarief",AND(LEFT(F1504,8)="Bijdrage",RIGHT(F1504,15)="(vrijwilligers)"),"Vast tarief"),"")</f>
        <v/>
      </c>
      <c r="O1504" s="90"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0"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1"/>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59"/>
      <c r="Z1504" s="49"/>
      <c r="AA1504" s="37" t="str" cm="1">
        <f t="array" ref="AA1504">IFERROR(IF(INDEX(SubsidieTabel!$Q$1:$T$9,MATCH($F1504,SubsidieTabel!$Q$1:$Q$9,0),IFERROR(MATCH(Methode_Keuze,SubsidieTabel!$Q$1:$T$1,0),2))&lt;&gt;1=TRUE,"ja",""),"")</f>
        <v/>
      </c>
    </row>
    <row r="1505" spans="1:27" ht="15" customHeight="1" x14ac:dyDescent="0.25">
      <c r="A1505" s="85"/>
      <c r="B1505" s="217" t="str">
        <f>IF(A1505&lt;&gt;"",_xlfn.MAXIFS($B$1:B1504,$A$1:A1504,A1505)+1,"")</f>
        <v/>
      </c>
      <c r="C1505" s="50"/>
      <c r="D1505" s="50"/>
      <c r="E1505" s="50"/>
      <c r="F1505" s="50"/>
      <c r="G1505" s="280"/>
      <c r="H1505" s="293"/>
      <c r="I1505" s="292"/>
      <c r="J1505" s="292"/>
      <c r="K1505" s="200"/>
      <c r="L1505" s="200"/>
      <c r="M1505" s="89" t="str">
        <f>IFERROR(VLOOKUP(H1505,Lijsten!$H$1:$I$100,2,0),"")</f>
        <v/>
      </c>
      <c r="N1505" s="89" t="str" cm="1">
        <f t="array" ref="N1505">IFERROR(_xlfn.IFS(AND(LEFT(F1505,6)="Arbeid",RIGHT(F1505,3)&lt;&gt;"IKS"),IFERROR(VLOOKUP($G1505,Tb_KostenTypen[],2,0),"tarief"),RIGHT(F1505,3)="IKS","Uurtarief",LEFT(F1505,6)="Arbeid","Uurtarief",AND(LEFT(F1505,8)="Bijdrage",RIGHT(F1505,15)="(vrijwilligers)"),"Vast tarief"),"")</f>
        <v/>
      </c>
      <c r="O1505" s="90"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0"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1"/>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59"/>
      <c r="Z1505" s="49"/>
      <c r="AA1505" s="37" t="str" cm="1">
        <f t="array" ref="AA1505">IFERROR(IF(INDEX(SubsidieTabel!$Q$1:$T$9,MATCH($F1505,SubsidieTabel!$Q$1:$Q$9,0),IFERROR(MATCH(Methode_Keuze,SubsidieTabel!$Q$1:$T$1,0),2))&lt;&gt;1=TRUE,"ja",""),"")</f>
        <v/>
      </c>
    </row>
    <row r="1506" spans="1:27" ht="15" customHeight="1" x14ac:dyDescent="0.25">
      <c r="A1506" s="85"/>
      <c r="B1506" s="217" t="str">
        <f>IF(A1506&lt;&gt;"",_xlfn.MAXIFS($B$1:B1505,$A$1:A1505,A1506)+1,"")</f>
        <v/>
      </c>
      <c r="C1506" s="50"/>
      <c r="D1506" s="50"/>
      <c r="E1506" s="50"/>
      <c r="F1506" s="50"/>
      <c r="G1506" s="280"/>
      <c r="H1506" s="293"/>
      <c r="I1506" s="292"/>
      <c r="J1506" s="292"/>
      <c r="K1506" s="200"/>
      <c r="L1506" s="200"/>
      <c r="M1506" s="89" t="str">
        <f>IFERROR(VLOOKUP(H1506,Lijsten!$H$1:$I$100,2,0),"")</f>
        <v/>
      </c>
      <c r="N1506" s="89" t="str" cm="1">
        <f t="array" ref="N1506">IFERROR(_xlfn.IFS(AND(LEFT(F1506,6)="Arbeid",RIGHT(F1506,3)&lt;&gt;"IKS"),IFERROR(VLOOKUP($G1506,Tb_KostenTypen[],2,0),"tarief"),RIGHT(F1506,3)="IKS","Uurtarief",LEFT(F1506,6)="Arbeid","Uurtarief",AND(LEFT(F1506,8)="Bijdrage",RIGHT(F1506,15)="(vrijwilligers)"),"Vast tarief"),"")</f>
        <v/>
      </c>
      <c r="O1506" s="90"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0"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1"/>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59"/>
      <c r="Z1506" s="49"/>
      <c r="AA1506" s="37" t="str" cm="1">
        <f t="array" ref="AA1506">IFERROR(IF(INDEX(SubsidieTabel!$Q$1:$T$9,MATCH($F1506,SubsidieTabel!$Q$1:$Q$9,0),IFERROR(MATCH(Methode_Keuze,SubsidieTabel!$Q$1:$T$1,0),2))&lt;&gt;1=TRUE,"ja",""),"")</f>
        <v/>
      </c>
    </row>
    <row r="1507" spans="1:27" ht="15" customHeight="1" x14ac:dyDescent="0.25">
      <c r="A1507" s="85"/>
      <c r="B1507" s="217" t="str">
        <f>IF(A1507&lt;&gt;"",_xlfn.MAXIFS($B$1:B1506,$A$1:A1506,A1507)+1,"")</f>
        <v/>
      </c>
      <c r="C1507" s="50"/>
      <c r="D1507" s="50"/>
      <c r="E1507" s="50"/>
      <c r="F1507" s="50"/>
      <c r="G1507" s="280"/>
      <c r="H1507" s="293"/>
      <c r="I1507" s="292"/>
      <c r="J1507" s="292"/>
      <c r="K1507" s="200"/>
      <c r="L1507" s="200"/>
      <c r="M1507" s="89" t="str">
        <f>IFERROR(VLOOKUP(H1507,Lijsten!$H$1:$I$100,2,0),"")</f>
        <v/>
      </c>
      <c r="N1507" s="89" t="str" cm="1">
        <f t="array" ref="N1507">IFERROR(_xlfn.IFS(AND(LEFT(F1507,6)="Arbeid",RIGHT(F1507,3)&lt;&gt;"IKS"),IFERROR(VLOOKUP($G1507,Tb_KostenTypen[],2,0),"tarief"),RIGHT(F1507,3)="IKS","Uurtarief",LEFT(F1507,6)="Arbeid","Uurtarief",AND(LEFT(F1507,8)="Bijdrage",RIGHT(F1507,15)="(vrijwilligers)"),"Vast tarief"),"")</f>
        <v/>
      </c>
      <c r="O1507" s="90"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0"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1"/>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59"/>
      <c r="Z1507" s="49"/>
      <c r="AA1507" s="37" t="str" cm="1">
        <f t="array" ref="AA1507">IFERROR(IF(INDEX(SubsidieTabel!$Q$1:$T$9,MATCH($F1507,SubsidieTabel!$Q$1:$Q$9,0),IFERROR(MATCH(Methode_Keuze,SubsidieTabel!$Q$1:$T$1,0),2))&lt;&gt;1=TRUE,"ja",""),"")</f>
        <v/>
      </c>
    </row>
    <row r="1508" spans="1:27" ht="15" customHeight="1" x14ac:dyDescent="0.25">
      <c r="A1508" s="85"/>
      <c r="B1508" s="217" t="str">
        <f>IF(A1508&lt;&gt;"",_xlfn.MAXIFS($B$1:B1507,$A$1:A1507,A1508)+1,"")</f>
        <v/>
      </c>
      <c r="C1508" s="50"/>
      <c r="D1508" s="50"/>
      <c r="E1508" s="50"/>
      <c r="F1508" s="50"/>
      <c r="G1508" s="280"/>
      <c r="H1508" s="293"/>
      <c r="I1508" s="292"/>
      <c r="J1508" s="292"/>
      <c r="K1508" s="200"/>
      <c r="L1508" s="200"/>
      <c r="M1508" s="89" t="str">
        <f>IFERROR(VLOOKUP(H1508,Lijsten!$H$1:$I$100,2,0),"")</f>
        <v/>
      </c>
      <c r="N1508" s="89" t="str" cm="1">
        <f t="array" ref="N1508">IFERROR(_xlfn.IFS(AND(LEFT(F1508,6)="Arbeid",RIGHT(F1508,3)&lt;&gt;"IKS"),IFERROR(VLOOKUP($G1508,Tb_KostenTypen[],2,0),"tarief"),RIGHT(F1508,3)="IKS","Uurtarief",LEFT(F1508,6)="Arbeid","Uurtarief",AND(LEFT(F1508,8)="Bijdrage",RIGHT(F1508,15)="(vrijwilligers)"),"Vast tarief"),"")</f>
        <v/>
      </c>
      <c r="O1508" s="90"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0"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1"/>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59"/>
      <c r="Z1508" s="49"/>
      <c r="AA1508" s="37" t="str" cm="1">
        <f t="array" ref="AA1508">IFERROR(IF(INDEX(SubsidieTabel!$Q$1:$T$9,MATCH($F1508,SubsidieTabel!$Q$1:$Q$9,0),IFERROR(MATCH(Methode_Keuze,SubsidieTabel!$Q$1:$T$1,0),2))&lt;&gt;1=TRUE,"ja",""),"")</f>
        <v/>
      </c>
    </row>
    <row r="1509" spans="1:27" ht="15" customHeight="1" x14ac:dyDescent="0.25">
      <c r="A1509" s="85"/>
      <c r="B1509" s="217" t="str">
        <f>IF(A1509&lt;&gt;"",_xlfn.MAXIFS($B$1:B1508,$A$1:A1508,A1509)+1,"")</f>
        <v/>
      </c>
      <c r="C1509" s="50"/>
      <c r="D1509" s="50"/>
      <c r="E1509" s="50"/>
      <c r="F1509" s="50"/>
      <c r="G1509" s="280"/>
      <c r="H1509" s="293"/>
      <c r="I1509" s="292"/>
      <c r="J1509" s="292"/>
      <c r="K1509" s="200"/>
      <c r="L1509" s="200"/>
      <c r="M1509" s="89" t="str">
        <f>IFERROR(VLOOKUP(H1509,Lijsten!$H$1:$I$100,2,0),"")</f>
        <v/>
      </c>
      <c r="N1509" s="89" t="str" cm="1">
        <f t="array" ref="N1509">IFERROR(_xlfn.IFS(AND(LEFT(F1509,6)="Arbeid",RIGHT(F1509,3)&lt;&gt;"IKS"),IFERROR(VLOOKUP($G1509,Tb_KostenTypen[],2,0),"tarief"),RIGHT(F1509,3)="IKS","Uurtarief",LEFT(F1509,6)="Arbeid","Uurtarief",AND(LEFT(F1509,8)="Bijdrage",RIGHT(F1509,15)="(vrijwilligers)"),"Vast tarief"),"")</f>
        <v/>
      </c>
      <c r="O1509" s="90"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0"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1"/>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59"/>
      <c r="Z1509" s="49"/>
      <c r="AA1509" s="37" t="str" cm="1">
        <f t="array" ref="AA1509">IFERROR(IF(INDEX(SubsidieTabel!$Q$1:$T$9,MATCH($F1509,SubsidieTabel!$Q$1:$Q$9,0),IFERROR(MATCH(Methode_Keuze,SubsidieTabel!$Q$1:$T$1,0),2))&lt;&gt;1=TRUE,"ja",""),"")</f>
        <v/>
      </c>
    </row>
    <row r="1510" spans="1:27" ht="15" customHeight="1" x14ac:dyDescent="0.25">
      <c r="A1510" s="85"/>
      <c r="B1510" s="217" t="str">
        <f>IF(A1510&lt;&gt;"",_xlfn.MAXIFS($B$1:B1509,$A$1:A1509,A1510)+1,"")</f>
        <v/>
      </c>
      <c r="C1510" s="50"/>
      <c r="D1510" s="50"/>
      <c r="E1510" s="50"/>
      <c r="F1510" s="50"/>
      <c r="G1510" s="280"/>
      <c r="H1510" s="293"/>
      <c r="I1510" s="292"/>
      <c r="J1510" s="292"/>
      <c r="K1510" s="200"/>
      <c r="L1510" s="200"/>
      <c r="M1510" s="89" t="str">
        <f>IFERROR(VLOOKUP(H1510,Lijsten!$H$1:$I$100,2,0),"")</f>
        <v/>
      </c>
      <c r="N1510" s="89" t="str" cm="1">
        <f t="array" ref="N1510">IFERROR(_xlfn.IFS(AND(LEFT(F1510,6)="Arbeid",RIGHT(F1510,3)&lt;&gt;"IKS"),IFERROR(VLOOKUP($G1510,Tb_KostenTypen[],2,0),"tarief"),RIGHT(F1510,3)="IKS","Uurtarief",LEFT(F1510,6)="Arbeid","Uurtarief",AND(LEFT(F1510,8)="Bijdrage",RIGHT(F1510,15)="(vrijwilligers)"),"Vast tarief"),"")</f>
        <v/>
      </c>
      <c r="O1510" s="90"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0"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1"/>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59"/>
      <c r="Z1510" s="49"/>
      <c r="AA1510" s="37" t="str" cm="1">
        <f t="array" ref="AA1510">IFERROR(IF(INDEX(SubsidieTabel!$Q$1:$T$9,MATCH($F1510,SubsidieTabel!$Q$1:$Q$9,0),IFERROR(MATCH(Methode_Keuze,SubsidieTabel!$Q$1:$T$1,0),2))&lt;&gt;1=TRUE,"ja",""),"")</f>
        <v/>
      </c>
    </row>
    <row r="1511" spans="1:27" ht="15" customHeight="1" x14ac:dyDescent="0.25">
      <c r="A1511" s="85"/>
      <c r="B1511" s="217" t="str">
        <f>IF(A1511&lt;&gt;"",_xlfn.MAXIFS($B$1:B1510,$A$1:A1510,A1511)+1,"")</f>
        <v/>
      </c>
      <c r="C1511" s="50"/>
      <c r="D1511" s="50"/>
      <c r="E1511" s="50"/>
      <c r="F1511" s="50"/>
      <c r="G1511" s="280"/>
      <c r="H1511" s="293"/>
      <c r="I1511" s="292"/>
      <c r="J1511" s="292"/>
      <c r="K1511" s="200"/>
      <c r="L1511" s="200"/>
      <c r="M1511" s="89" t="str">
        <f>IFERROR(VLOOKUP(H1511,Lijsten!$H$1:$I$100,2,0),"")</f>
        <v/>
      </c>
      <c r="N1511" s="89" t="str" cm="1">
        <f t="array" ref="N1511">IFERROR(_xlfn.IFS(AND(LEFT(F1511,6)="Arbeid",RIGHT(F1511,3)&lt;&gt;"IKS"),IFERROR(VLOOKUP($G1511,Tb_KostenTypen[],2,0),"tarief"),RIGHT(F1511,3)="IKS","Uurtarief",LEFT(F1511,6)="Arbeid","Uurtarief",AND(LEFT(F1511,8)="Bijdrage",RIGHT(F1511,15)="(vrijwilligers)"),"Vast tarief"),"")</f>
        <v/>
      </c>
      <c r="O1511" s="90"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0"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1"/>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59"/>
      <c r="Z1511" s="49"/>
      <c r="AA1511" s="37" t="str" cm="1">
        <f t="array" ref="AA1511">IFERROR(IF(INDEX(SubsidieTabel!$Q$1:$T$9,MATCH($F1511,SubsidieTabel!$Q$1:$Q$9,0),IFERROR(MATCH(Methode_Keuze,SubsidieTabel!$Q$1:$T$1,0),2))&lt;&gt;1=TRUE,"ja",""),"")</f>
        <v/>
      </c>
    </row>
    <row r="1512" spans="1:27" ht="15" customHeight="1" x14ac:dyDescent="0.25">
      <c r="A1512" s="85"/>
      <c r="B1512" s="217" t="str">
        <f>IF(A1512&lt;&gt;"",_xlfn.MAXIFS($B$1:B1511,$A$1:A1511,A1512)+1,"")</f>
        <v/>
      </c>
      <c r="C1512" s="50"/>
      <c r="D1512" s="50"/>
      <c r="E1512" s="50"/>
      <c r="F1512" s="50"/>
      <c r="G1512" s="280"/>
      <c r="H1512" s="293"/>
      <c r="I1512" s="292"/>
      <c r="J1512" s="292"/>
      <c r="K1512" s="200"/>
      <c r="L1512" s="200"/>
      <c r="M1512" s="89" t="str">
        <f>IFERROR(VLOOKUP(H1512,Lijsten!$H$1:$I$100,2,0),"")</f>
        <v/>
      </c>
      <c r="N1512" s="89" t="str" cm="1">
        <f t="array" ref="N1512">IFERROR(_xlfn.IFS(AND(LEFT(F1512,6)="Arbeid",RIGHT(F1512,3)&lt;&gt;"IKS"),IFERROR(VLOOKUP($G1512,Tb_KostenTypen[],2,0),"tarief"),RIGHT(F1512,3)="IKS","Uurtarief",LEFT(F1512,6)="Arbeid","Uurtarief",AND(LEFT(F1512,8)="Bijdrage",RIGHT(F1512,15)="(vrijwilligers)"),"Vast tarief"),"")</f>
        <v/>
      </c>
      <c r="O1512" s="90"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0"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1"/>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59"/>
      <c r="Z1512" s="49"/>
      <c r="AA1512" s="37" t="str" cm="1">
        <f t="array" ref="AA1512">IFERROR(IF(INDEX(SubsidieTabel!$Q$1:$T$9,MATCH($F1512,SubsidieTabel!$Q$1:$Q$9,0),IFERROR(MATCH(Methode_Keuze,SubsidieTabel!$Q$1:$T$1,0),2))&lt;&gt;1=TRUE,"ja",""),"")</f>
        <v/>
      </c>
    </row>
    <row r="1513" spans="1:27" ht="15" customHeight="1" x14ac:dyDescent="0.25">
      <c r="A1513" s="85"/>
      <c r="B1513" s="217" t="str">
        <f>IF(A1513&lt;&gt;"",_xlfn.MAXIFS($B$1:B1512,$A$1:A1512,A1513)+1,"")</f>
        <v/>
      </c>
      <c r="C1513" s="50"/>
      <c r="D1513" s="50"/>
      <c r="E1513" s="50"/>
      <c r="F1513" s="50"/>
      <c r="G1513" s="280"/>
      <c r="H1513" s="293"/>
      <c r="I1513" s="292"/>
      <c r="J1513" s="292"/>
      <c r="K1513" s="200"/>
      <c r="L1513" s="200"/>
      <c r="M1513" s="89" t="str">
        <f>IFERROR(VLOOKUP(H1513,Lijsten!$H$1:$I$100,2,0),"")</f>
        <v/>
      </c>
      <c r="N1513" s="89" t="str" cm="1">
        <f t="array" ref="N1513">IFERROR(_xlfn.IFS(AND(LEFT(F1513,6)="Arbeid",RIGHT(F1513,3)&lt;&gt;"IKS"),IFERROR(VLOOKUP($G1513,Tb_KostenTypen[],2,0),"tarief"),RIGHT(F1513,3)="IKS","Uurtarief",LEFT(F1513,6)="Arbeid","Uurtarief",AND(LEFT(F1513,8)="Bijdrage",RIGHT(F1513,15)="(vrijwilligers)"),"Vast tarief"),"")</f>
        <v/>
      </c>
      <c r="O1513" s="90"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0"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1"/>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59"/>
      <c r="Z1513" s="49"/>
      <c r="AA1513" s="37" t="str" cm="1">
        <f t="array" ref="AA1513">IFERROR(IF(INDEX(SubsidieTabel!$Q$1:$T$9,MATCH($F1513,SubsidieTabel!$Q$1:$Q$9,0),IFERROR(MATCH(Methode_Keuze,SubsidieTabel!$Q$1:$T$1,0),2))&lt;&gt;1=TRUE,"ja",""),"")</f>
        <v/>
      </c>
    </row>
    <row r="1514" spans="1:27" ht="15" customHeight="1" x14ac:dyDescent="0.25">
      <c r="A1514" s="85"/>
      <c r="B1514" s="217" t="str">
        <f>IF(A1514&lt;&gt;"",_xlfn.MAXIFS($B$1:B1513,$A$1:A1513,A1514)+1,"")</f>
        <v/>
      </c>
      <c r="C1514" s="50"/>
      <c r="D1514" s="50"/>
      <c r="E1514" s="50"/>
      <c r="F1514" s="50"/>
      <c r="G1514" s="280"/>
      <c r="H1514" s="293"/>
      <c r="I1514" s="292"/>
      <c r="J1514" s="292"/>
      <c r="K1514" s="200"/>
      <c r="L1514" s="200"/>
      <c r="M1514" s="89" t="str">
        <f>IFERROR(VLOOKUP(H1514,Lijsten!$H$1:$I$100,2,0),"")</f>
        <v/>
      </c>
      <c r="N1514" s="89" t="str" cm="1">
        <f t="array" ref="N1514">IFERROR(_xlfn.IFS(AND(LEFT(F1514,6)="Arbeid",RIGHT(F1514,3)&lt;&gt;"IKS"),IFERROR(VLOOKUP($G1514,Tb_KostenTypen[],2,0),"tarief"),RIGHT(F1514,3)="IKS","Uurtarief",LEFT(F1514,6)="Arbeid","Uurtarief",AND(LEFT(F1514,8)="Bijdrage",RIGHT(F1514,15)="(vrijwilligers)"),"Vast tarief"),"")</f>
        <v/>
      </c>
      <c r="O1514" s="90"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0"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1"/>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59"/>
      <c r="Z1514" s="49"/>
      <c r="AA1514" s="37" t="str" cm="1">
        <f t="array" ref="AA1514">IFERROR(IF(INDEX(SubsidieTabel!$Q$1:$T$9,MATCH($F1514,SubsidieTabel!$Q$1:$Q$9,0),IFERROR(MATCH(Methode_Keuze,SubsidieTabel!$Q$1:$T$1,0),2))&lt;&gt;1=TRUE,"ja",""),"")</f>
        <v/>
      </c>
    </row>
    <row r="1515" spans="1:27" ht="15" customHeight="1" x14ac:dyDescent="0.25">
      <c r="A1515" s="85"/>
      <c r="B1515" s="217" t="str">
        <f>IF(A1515&lt;&gt;"",_xlfn.MAXIFS($B$1:B1514,$A$1:A1514,A1515)+1,"")</f>
        <v/>
      </c>
      <c r="C1515" s="50"/>
      <c r="D1515" s="50"/>
      <c r="E1515" s="50"/>
      <c r="F1515" s="50"/>
      <c r="G1515" s="280"/>
      <c r="H1515" s="293"/>
      <c r="I1515" s="292"/>
      <c r="J1515" s="292"/>
      <c r="K1515" s="200"/>
      <c r="L1515" s="200"/>
      <c r="M1515" s="89" t="str">
        <f>IFERROR(VLOOKUP(H1515,Lijsten!$H$1:$I$100,2,0),"")</f>
        <v/>
      </c>
      <c r="N1515" s="89" t="str" cm="1">
        <f t="array" ref="N1515">IFERROR(_xlfn.IFS(AND(LEFT(F1515,6)="Arbeid",RIGHT(F1515,3)&lt;&gt;"IKS"),IFERROR(VLOOKUP($G1515,Tb_KostenTypen[],2,0),"tarief"),RIGHT(F1515,3)="IKS","Uurtarief",LEFT(F1515,6)="Arbeid","Uurtarief",AND(LEFT(F1515,8)="Bijdrage",RIGHT(F1515,15)="(vrijwilligers)"),"Vast tarief"),"")</f>
        <v/>
      </c>
      <c r="O1515" s="90"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0"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1"/>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59"/>
      <c r="Z1515" s="49"/>
      <c r="AA1515" s="37" t="str" cm="1">
        <f t="array" ref="AA1515">IFERROR(IF(INDEX(SubsidieTabel!$Q$1:$T$9,MATCH($F1515,SubsidieTabel!$Q$1:$Q$9,0),IFERROR(MATCH(Methode_Keuze,SubsidieTabel!$Q$1:$T$1,0),2))&lt;&gt;1=TRUE,"ja",""),"")</f>
        <v/>
      </c>
    </row>
    <row r="1516" spans="1:27" ht="15" customHeight="1" x14ac:dyDescent="0.25">
      <c r="A1516" s="85"/>
      <c r="B1516" s="217" t="str">
        <f>IF(A1516&lt;&gt;"",_xlfn.MAXIFS($B$1:B1515,$A$1:A1515,A1516)+1,"")</f>
        <v/>
      </c>
      <c r="C1516" s="50"/>
      <c r="D1516" s="50"/>
      <c r="E1516" s="50"/>
      <c r="F1516" s="50"/>
      <c r="G1516" s="280"/>
      <c r="H1516" s="293"/>
      <c r="I1516" s="292"/>
      <c r="J1516" s="292"/>
      <c r="K1516" s="200"/>
      <c r="L1516" s="200"/>
      <c r="M1516" s="89" t="str">
        <f>IFERROR(VLOOKUP(H1516,Lijsten!$H$1:$I$100,2,0),"")</f>
        <v/>
      </c>
      <c r="N1516" s="89" t="str" cm="1">
        <f t="array" ref="N1516">IFERROR(_xlfn.IFS(AND(LEFT(F1516,6)="Arbeid",RIGHT(F1516,3)&lt;&gt;"IKS"),IFERROR(VLOOKUP($G1516,Tb_KostenTypen[],2,0),"tarief"),RIGHT(F1516,3)="IKS","Uurtarief",LEFT(F1516,6)="Arbeid","Uurtarief",AND(LEFT(F1516,8)="Bijdrage",RIGHT(F1516,15)="(vrijwilligers)"),"Vast tarief"),"")</f>
        <v/>
      </c>
      <c r="O1516" s="90"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0"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1"/>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59"/>
      <c r="Z1516" s="49"/>
      <c r="AA1516" s="37" t="str" cm="1">
        <f t="array" ref="AA1516">IFERROR(IF(INDEX(SubsidieTabel!$Q$1:$T$9,MATCH($F1516,SubsidieTabel!$Q$1:$Q$9,0),IFERROR(MATCH(Methode_Keuze,SubsidieTabel!$Q$1:$T$1,0),2))&lt;&gt;1=TRUE,"ja",""),"")</f>
        <v/>
      </c>
    </row>
    <row r="1517" spans="1:27" ht="15" customHeight="1" x14ac:dyDescent="0.25">
      <c r="A1517" s="85"/>
      <c r="B1517" s="217" t="str">
        <f>IF(A1517&lt;&gt;"",_xlfn.MAXIFS($B$1:B1516,$A$1:A1516,A1517)+1,"")</f>
        <v/>
      </c>
      <c r="C1517" s="50"/>
      <c r="D1517" s="50"/>
      <c r="E1517" s="50"/>
      <c r="F1517" s="50"/>
      <c r="G1517" s="280"/>
      <c r="H1517" s="293"/>
      <c r="I1517" s="292"/>
      <c r="J1517" s="292"/>
      <c r="K1517" s="200"/>
      <c r="L1517" s="200"/>
      <c r="M1517" s="89" t="str">
        <f>IFERROR(VLOOKUP(H1517,Lijsten!$H$1:$I$100,2,0),"")</f>
        <v/>
      </c>
      <c r="N1517" s="89" t="str" cm="1">
        <f t="array" ref="N1517">IFERROR(_xlfn.IFS(AND(LEFT(F1517,6)="Arbeid",RIGHT(F1517,3)&lt;&gt;"IKS"),IFERROR(VLOOKUP($G1517,Tb_KostenTypen[],2,0),"tarief"),RIGHT(F1517,3)="IKS","Uurtarief",LEFT(F1517,6)="Arbeid","Uurtarief",AND(LEFT(F1517,8)="Bijdrage",RIGHT(F1517,15)="(vrijwilligers)"),"Vast tarief"),"")</f>
        <v/>
      </c>
      <c r="O1517" s="90"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0"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1"/>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59"/>
      <c r="Z1517" s="49"/>
      <c r="AA1517" s="37" t="str" cm="1">
        <f t="array" ref="AA1517">IFERROR(IF(INDEX(SubsidieTabel!$Q$1:$T$9,MATCH($F1517,SubsidieTabel!$Q$1:$Q$9,0),IFERROR(MATCH(Methode_Keuze,SubsidieTabel!$Q$1:$T$1,0),2))&lt;&gt;1=TRUE,"ja",""),"")</f>
        <v/>
      </c>
    </row>
    <row r="1518" spans="1:27" ht="15" customHeight="1" x14ac:dyDescent="0.25">
      <c r="A1518" s="85"/>
      <c r="B1518" s="217" t="str">
        <f>IF(A1518&lt;&gt;"",_xlfn.MAXIFS($B$1:B1517,$A$1:A1517,A1518)+1,"")</f>
        <v/>
      </c>
      <c r="C1518" s="50"/>
      <c r="D1518" s="50"/>
      <c r="E1518" s="50"/>
      <c r="F1518" s="50"/>
      <c r="G1518" s="280"/>
      <c r="H1518" s="293"/>
      <c r="I1518" s="292"/>
      <c r="J1518" s="292"/>
      <c r="K1518" s="200"/>
      <c r="L1518" s="200"/>
      <c r="M1518" s="89" t="str">
        <f>IFERROR(VLOOKUP(H1518,Lijsten!$H$1:$I$100,2,0),"")</f>
        <v/>
      </c>
      <c r="N1518" s="89" t="str" cm="1">
        <f t="array" ref="N1518">IFERROR(_xlfn.IFS(AND(LEFT(F1518,6)="Arbeid",RIGHT(F1518,3)&lt;&gt;"IKS"),IFERROR(VLOOKUP($G1518,Tb_KostenTypen[],2,0),"tarief"),RIGHT(F1518,3)="IKS","Uurtarief",LEFT(F1518,6)="Arbeid","Uurtarief",AND(LEFT(F1518,8)="Bijdrage",RIGHT(F1518,15)="(vrijwilligers)"),"Vast tarief"),"")</f>
        <v/>
      </c>
      <c r="O1518" s="90"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0"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1"/>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59"/>
      <c r="Z1518" s="49"/>
      <c r="AA1518" s="37" t="str" cm="1">
        <f t="array" ref="AA1518">IFERROR(IF(INDEX(SubsidieTabel!$Q$1:$T$9,MATCH($F1518,SubsidieTabel!$Q$1:$Q$9,0),IFERROR(MATCH(Methode_Keuze,SubsidieTabel!$Q$1:$T$1,0),2))&lt;&gt;1=TRUE,"ja",""),"")</f>
        <v/>
      </c>
    </row>
    <row r="1519" spans="1:27" ht="15" customHeight="1" x14ac:dyDescent="0.25">
      <c r="A1519" s="85"/>
      <c r="B1519" s="217" t="str">
        <f>IF(A1519&lt;&gt;"",_xlfn.MAXIFS($B$1:B1518,$A$1:A1518,A1519)+1,"")</f>
        <v/>
      </c>
      <c r="C1519" s="50"/>
      <c r="D1519" s="50"/>
      <c r="E1519" s="50"/>
      <c r="F1519" s="50"/>
      <c r="G1519" s="280"/>
      <c r="H1519" s="293"/>
      <c r="I1519" s="292"/>
      <c r="J1519" s="292"/>
      <c r="K1519" s="200"/>
      <c r="L1519" s="200"/>
      <c r="M1519" s="89" t="str">
        <f>IFERROR(VLOOKUP(H1519,Lijsten!$H$1:$I$100,2,0),"")</f>
        <v/>
      </c>
      <c r="N1519" s="89" t="str" cm="1">
        <f t="array" ref="N1519">IFERROR(_xlfn.IFS(AND(LEFT(F1519,6)="Arbeid",RIGHT(F1519,3)&lt;&gt;"IKS"),IFERROR(VLOOKUP($G1519,Tb_KostenTypen[],2,0),"tarief"),RIGHT(F1519,3)="IKS","Uurtarief",LEFT(F1519,6)="Arbeid","Uurtarief",AND(LEFT(F1519,8)="Bijdrage",RIGHT(F1519,15)="(vrijwilligers)"),"Vast tarief"),"")</f>
        <v/>
      </c>
      <c r="O1519" s="90"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0"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1"/>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59"/>
      <c r="Z1519" s="49"/>
      <c r="AA1519" s="37" t="str" cm="1">
        <f t="array" ref="AA1519">IFERROR(IF(INDEX(SubsidieTabel!$Q$1:$T$9,MATCH($F1519,SubsidieTabel!$Q$1:$Q$9,0),IFERROR(MATCH(Methode_Keuze,SubsidieTabel!$Q$1:$T$1,0),2))&lt;&gt;1=TRUE,"ja",""),"")</f>
        <v/>
      </c>
    </row>
    <row r="1520" spans="1:27" ht="15" customHeight="1" x14ac:dyDescent="0.25">
      <c r="A1520" s="85"/>
      <c r="B1520" s="217" t="str">
        <f>IF(A1520&lt;&gt;"",_xlfn.MAXIFS($B$1:B1519,$A$1:A1519,A1520)+1,"")</f>
        <v/>
      </c>
      <c r="C1520" s="50"/>
      <c r="D1520" s="50"/>
      <c r="E1520" s="50"/>
      <c r="F1520" s="50"/>
      <c r="G1520" s="280"/>
      <c r="H1520" s="293"/>
      <c r="I1520" s="292"/>
      <c r="J1520" s="292"/>
      <c r="K1520" s="200"/>
      <c r="L1520" s="200"/>
      <c r="M1520" s="89" t="str">
        <f>IFERROR(VLOOKUP(H1520,Lijsten!$H$1:$I$100,2,0),"")</f>
        <v/>
      </c>
      <c r="N1520" s="89" t="str" cm="1">
        <f t="array" ref="N1520">IFERROR(_xlfn.IFS(AND(LEFT(F1520,6)="Arbeid",RIGHT(F1520,3)&lt;&gt;"IKS"),IFERROR(VLOOKUP($G1520,Tb_KostenTypen[],2,0),"tarief"),RIGHT(F1520,3)="IKS","Uurtarief",LEFT(F1520,6)="Arbeid","Uurtarief",AND(LEFT(F1520,8)="Bijdrage",RIGHT(F1520,15)="(vrijwilligers)"),"Vast tarief"),"")</f>
        <v/>
      </c>
      <c r="O1520" s="90"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0"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1"/>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59"/>
      <c r="Z1520" s="49"/>
      <c r="AA1520" s="37" t="str" cm="1">
        <f t="array" ref="AA1520">IFERROR(IF(INDEX(SubsidieTabel!$Q$1:$T$9,MATCH($F1520,SubsidieTabel!$Q$1:$Q$9,0),IFERROR(MATCH(Methode_Keuze,SubsidieTabel!$Q$1:$T$1,0),2))&lt;&gt;1=TRUE,"ja",""),"")</f>
        <v/>
      </c>
    </row>
    <row r="1521" spans="1:27" ht="15" customHeight="1" x14ac:dyDescent="0.25">
      <c r="A1521" s="85"/>
      <c r="B1521" s="217" t="str">
        <f>IF(A1521&lt;&gt;"",_xlfn.MAXIFS($B$1:B1520,$A$1:A1520,A1521)+1,"")</f>
        <v/>
      </c>
      <c r="C1521" s="50"/>
      <c r="D1521" s="50"/>
      <c r="E1521" s="50"/>
      <c r="F1521" s="50"/>
      <c r="G1521" s="280"/>
      <c r="H1521" s="293"/>
      <c r="I1521" s="292"/>
      <c r="J1521" s="292"/>
      <c r="K1521" s="200"/>
      <c r="L1521" s="200"/>
      <c r="M1521" s="89" t="str">
        <f>IFERROR(VLOOKUP(H1521,Lijsten!$H$1:$I$100,2,0),"")</f>
        <v/>
      </c>
      <c r="N1521" s="89" t="str" cm="1">
        <f t="array" ref="N1521">IFERROR(_xlfn.IFS(AND(LEFT(F1521,6)="Arbeid",RIGHT(F1521,3)&lt;&gt;"IKS"),IFERROR(VLOOKUP($G1521,Tb_KostenTypen[],2,0),"tarief"),RIGHT(F1521,3)="IKS","Uurtarief",LEFT(F1521,6)="Arbeid","Uurtarief",AND(LEFT(F1521,8)="Bijdrage",RIGHT(F1521,15)="(vrijwilligers)"),"Vast tarief"),"")</f>
        <v/>
      </c>
      <c r="O1521" s="90"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0"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1"/>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59"/>
      <c r="Z1521" s="49"/>
      <c r="AA1521" s="37" t="str" cm="1">
        <f t="array" ref="AA1521">IFERROR(IF(INDEX(SubsidieTabel!$Q$1:$T$9,MATCH($F1521,SubsidieTabel!$Q$1:$Q$9,0),IFERROR(MATCH(Methode_Keuze,SubsidieTabel!$Q$1:$T$1,0),2))&lt;&gt;1=TRUE,"ja",""),"")</f>
        <v/>
      </c>
    </row>
    <row r="1522" spans="1:27" ht="15" customHeight="1" x14ac:dyDescent="0.25">
      <c r="A1522" s="85"/>
      <c r="B1522" s="217" t="str">
        <f>IF(A1522&lt;&gt;"",_xlfn.MAXIFS($B$1:B1521,$A$1:A1521,A1522)+1,"")</f>
        <v/>
      </c>
      <c r="C1522" s="50"/>
      <c r="D1522" s="50"/>
      <c r="E1522" s="50"/>
      <c r="F1522" s="50"/>
      <c r="G1522" s="280"/>
      <c r="H1522" s="293"/>
      <c r="I1522" s="292"/>
      <c r="J1522" s="292"/>
      <c r="K1522" s="200"/>
      <c r="L1522" s="200"/>
      <c r="M1522" s="89" t="str">
        <f>IFERROR(VLOOKUP(H1522,Lijsten!$H$1:$I$100,2,0),"")</f>
        <v/>
      </c>
      <c r="N1522" s="89" t="str" cm="1">
        <f t="array" ref="N1522">IFERROR(_xlfn.IFS(AND(LEFT(F1522,6)="Arbeid",RIGHT(F1522,3)&lt;&gt;"IKS"),IFERROR(VLOOKUP($G1522,Tb_KostenTypen[],2,0),"tarief"),RIGHT(F1522,3)="IKS","Uurtarief",LEFT(F1522,6)="Arbeid","Uurtarief",AND(LEFT(F1522,8)="Bijdrage",RIGHT(F1522,15)="(vrijwilligers)"),"Vast tarief"),"")</f>
        <v/>
      </c>
      <c r="O1522" s="90"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0"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1"/>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59"/>
      <c r="Z1522" s="49"/>
      <c r="AA1522" s="37" t="str" cm="1">
        <f t="array" ref="AA1522">IFERROR(IF(INDEX(SubsidieTabel!$Q$1:$T$9,MATCH($F1522,SubsidieTabel!$Q$1:$Q$9,0),IFERROR(MATCH(Methode_Keuze,SubsidieTabel!$Q$1:$T$1,0),2))&lt;&gt;1=TRUE,"ja",""),"")</f>
        <v/>
      </c>
    </row>
    <row r="1523" spans="1:27" ht="15" customHeight="1" x14ac:dyDescent="0.25">
      <c r="A1523" s="85"/>
      <c r="B1523" s="217" t="str">
        <f>IF(A1523&lt;&gt;"",_xlfn.MAXIFS($B$1:B1522,$A$1:A1522,A1523)+1,"")</f>
        <v/>
      </c>
      <c r="C1523" s="50"/>
      <c r="D1523" s="50"/>
      <c r="E1523" s="50"/>
      <c r="F1523" s="50"/>
      <c r="G1523" s="280"/>
      <c r="H1523" s="293"/>
      <c r="I1523" s="292"/>
      <c r="J1523" s="292"/>
      <c r="K1523" s="200"/>
      <c r="L1523" s="200"/>
      <c r="M1523" s="89" t="str">
        <f>IFERROR(VLOOKUP(H1523,Lijsten!$H$1:$I$100,2,0),"")</f>
        <v/>
      </c>
      <c r="N1523" s="89" t="str" cm="1">
        <f t="array" ref="N1523">IFERROR(_xlfn.IFS(AND(LEFT(F1523,6)="Arbeid",RIGHT(F1523,3)&lt;&gt;"IKS"),IFERROR(VLOOKUP($G1523,Tb_KostenTypen[],2,0),"tarief"),RIGHT(F1523,3)="IKS","Uurtarief",LEFT(F1523,6)="Arbeid","Uurtarief",AND(LEFT(F1523,8)="Bijdrage",RIGHT(F1523,15)="(vrijwilligers)"),"Vast tarief"),"")</f>
        <v/>
      </c>
      <c r="O1523" s="90"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0"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1"/>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59"/>
      <c r="Z1523" s="49"/>
      <c r="AA1523" s="37" t="str" cm="1">
        <f t="array" ref="AA1523">IFERROR(IF(INDEX(SubsidieTabel!$Q$1:$T$9,MATCH($F1523,SubsidieTabel!$Q$1:$Q$9,0),IFERROR(MATCH(Methode_Keuze,SubsidieTabel!$Q$1:$T$1,0),2))&lt;&gt;1=TRUE,"ja",""),"")</f>
        <v/>
      </c>
    </row>
    <row r="1524" spans="1:27" ht="15" customHeight="1" x14ac:dyDescent="0.25">
      <c r="A1524" s="85"/>
      <c r="B1524" s="217" t="str">
        <f>IF(A1524&lt;&gt;"",_xlfn.MAXIFS($B$1:B1523,$A$1:A1523,A1524)+1,"")</f>
        <v/>
      </c>
      <c r="C1524" s="50"/>
      <c r="D1524" s="50"/>
      <c r="E1524" s="50"/>
      <c r="F1524" s="50"/>
      <c r="G1524" s="280"/>
      <c r="H1524" s="293"/>
      <c r="I1524" s="292"/>
      <c r="J1524" s="292"/>
      <c r="K1524" s="200"/>
      <c r="L1524" s="200"/>
      <c r="M1524" s="89" t="str">
        <f>IFERROR(VLOOKUP(H1524,Lijsten!$H$1:$I$100,2,0),"")</f>
        <v/>
      </c>
      <c r="N1524" s="89" t="str" cm="1">
        <f t="array" ref="N1524">IFERROR(_xlfn.IFS(AND(LEFT(F1524,6)="Arbeid",RIGHT(F1524,3)&lt;&gt;"IKS"),IFERROR(VLOOKUP($G1524,Tb_KostenTypen[],2,0),"tarief"),RIGHT(F1524,3)="IKS","Uurtarief",LEFT(F1524,6)="Arbeid","Uurtarief",AND(LEFT(F1524,8)="Bijdrage",RIGHT(F1524,15)="(vrijwilligers)"),"Vast tarief"),"")</f>
        <v/>
      </c>
      <c r="O1524" s="90"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0"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1"/>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59"/>
      <c r="Z1524" s="49"/>
      <c r="AA1524" s="37" t="str" cm="1">
        <f t="array" ref="AA1524">IFERROR(IF(INDEX(SubsidieTabel!$Q$1:$T$9,MATCH($F1524,SubsidieTabel!$Q$1:$Q$9,0),IFERROR(MATCH(Methode_Keuze,SubsidieTabel!$Q$1:$T$1,0),2))&lt;&gt;1=TRUE,"ja",""),"")</f>
        <v/>
      </c>
    </row>
    <row r="1525" spans="1:27" ht="15" customHeight="1" x14ac:dyDescent="0.25">
      <c r="A1525" s="85"/>
      <c r="B1525" s="217" t="str">
        <f>IF(A1525&lt;&gt;"",_xlfn.MAXIFS($B$1:B1524,$A$1:A1524,A1525)+1,"")</f>
        <v/>
      </c>
      <c r="C1525" s="50"/>
      <c r="D1525" s="50"/>
      <c r="E1525" s="50"/>
      <c r="F1525" s="50"/>
      <c r="G1525" s="280"/>
      <c r="H1525" s="293"/>
      <c r="I1525" s="292"/>
      <c r="J1525" s="292"/>
      <c r="K1525" s="200"/>
      <c r="L1525" s="200"/>
      <c r="M1525" s="89" t="str">
        <f>IFERROR(VLOOKUP(H1525,Lijsten!$H$1:$I$100,2,0),"")</f>
        <v/>
      </c>
      <c r="N1525" s="89" t="str" cm="1">
        <f t="array" ref="N1525">IFERROR(_xlfn.IFS(AND(LEFT(F1525,6)="Arbeid",RIGHT(F1525,3)&lt;&gt;"IKS"),IFERROR(VLOOKUP($G1525,Tb_KostenTypen[],2,0),"tarief"),RIGHT(F1525,3)="IKS","Uurtarief",LEFT(F1525,6)="Arbeid","Uurtarief",AND(LEFT(F1525,8)="Bijdrage",RIGHT(F1525,15)="(vrijwilligers)"),"Vast tarief"),"")</f>
        <v/>
      </c>
      <c r="O1525" s="90"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0"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1"/>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59"/>
      <c r="Z1525" s="49"/>
      <c r="AA1525" s="37" t="str" cm="1">
        <f t="array" ref="AA1525">IFERROR(IF(INDEX(SubsidieTabel!$Q$1:$T$9,MATCH($F1525,SubsidieTabel!$Q$1:$Q$9,0),IFERROR(MATCH(Methode_Keuze,SubsidieTabel!$Q$1:$T$1,0),2))&lt;&gt;1=TRUE,"ja",""),"")</f>
        <v/>
      </c>
    </row>
    <row r="1526" spans="1:27" ht="15" customHeight="1" x14ac:dyDescent="0.25">
      <c r="A1526" s="85"/>
      <c r="B1526" s="217" t="str">
        <f>IF(A1526&lt;&gt;"",_xlfn.MAXIFS($B$1:B1525,$A$1:A1525,A1526)+1,"")</f>
        <v/>
      </c>
      <c r="C1526" s="50"/>
      <c r="D1526" s="50"/>
      <c r="E1526" s="50"/>
      <c r="F1526" s="50"/>
      <c r="G1526" s="280"/>
      <c r="H1526" s="293"/>
      <c r="I1526" s="292"/>
      <c r="J1526" s="292"/>
      <c r="K1526" s="200"/>
      <c r="L1526" s="200"/>
      <c r="M1526" s="89" t="str">
        <f>IFERROR(VLOOKUP(H1526,Lijsten!$H$1:$I$100,2,0),"")</f>
        <v/>
      </c>
      <c r="N1526" s="89" t="str" cm="1">
        <f t="array" ref="N1526">IFERROR(_xlfn.IFS(AND(LEFT(F1526,6)="Arbeid",RIGHT(F1526,3)&lt;&gt;"IKS"),IFERROR(VLOOKUP($G1526,Tb_KostenTypen[],2,0),"tarief"),RIGHT(F1526,3)="IKS","Uurtarief",LEFT(F1526,6)="Arbeid","Uurtarief",AND(LEFT(F1526,8)="Bijdrage",RIGHT(F1526,15)="(vrijwilligers)"),"Vast tarief"),"")</f>
        <v/>
      </c>
      <c r="O1526" s="90"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0"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1"/>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59"/>
      <c r="Z1526" s="49"/>
      <c r="AA1526" s="37" t="str" cm="1">
        <f t="array" ref="AA1526">IFERROR(IF(INDEX(SubsidieTabel!$Q$1:$T$9,MATCH($F1526,SubsidieTabel!$Q$1:$Q$9,0),IFERROR(MATCH(Methode_Keuze,SubsidieTabel!$Q$1:$T$1,0),2))&lt;&gt;1=TRUE,"ja",""),"")</f>
        <v/>
      </c>
    </row>
    <row r="1527" spans="1:27" ht="15" customHeight="1" x14ac:dyDescent="0.25">
      <c r="A1527" s="85"/>
      <c r="B1527" s="217" t="str">
        <f>IF(A1527&lt;&gt;"",_xlfn.MAXIFS($B$1:B1526,$A$1:A1526,A1527)+1,"")</f>
        <v/>
      </c>
      <c r="C1527" s="50"/>
      <c r="D1527" s="50"/>
      <c r="E1527" s="50"/>
      <c r="F1527" s="50"/>
      <c r="G1527" s="280"/>
      <c r="H1527" s="293"/>
      <c r="I1527" s="292"/>
      <c r="J1527" s="292"/>
      <c r="K1527" s="200"/>
      <c r="L1527" s="200"/>
      <c r="M1527" s="89" t="str">
        <f>IFERROR(VLOOKUP(H1527,Lijsten!$H$1:$I$100,2,0),"")</f>
        <v/>
      </c>
      <c r="N1527" s="89" t="str" cm="1">
        <f t="array" ref="N1527">IFERROR(_xlfn.IFS(AND(LEFT(F1527,6)="Arbeid",RIGHT(F1527,3)&lt;&gt;"IKS"),IFERROR(VLOOKUP($G1527,Tb_KostenTypen[],2,0),"tarief"),RIGHT(F1527,3)="IKS","Uurtarief",LEFT(F1527,6)="Arbeid","Uurtarief",AND(LEFT(F1527,8)="Bijdrage",RIGHT(F1527,15)="(vrijwilligers)"),"Vast tarief"),"")</f>
        <v/>
      </c>
      <c r="O1527" s="90"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0"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1"/>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59"/>
      <c r="Z1527" s="49"/>
      <c r="AA1527" s="37" t="str" cm="1">
        <f t="array" ref="AA1527">IFERROR(IF(INDEX(SubsidieTabel!$Q$1:$T$9,MATCH($F1527,SubsidieTabel!$Q$1:$Q$9,0),IFERROR(MATCH(Methode_Keuze,SubsidieTabel!$Q$1:$T$1,0),2))&lt;&gt;1=TRUE,"ja",""),"")</f>
        <v/>
      </c>
    </row>
    <row r="1528" spans="1:27" ht="15" customHeight="1" x14ac:dyDescent="0.25">
      <c r="A1528" s="85"/>
      <c r="B1528" s="217" t="str">
        <f>IF(A1528&lt;&gt;"",_xlfn.MAXIFS($B$1:B1527,$A$1:A1527,A1528)+1,"")</f>
        <v/>
      </c>
      <c r="C1528" s="50"/>
      <c r="D1528" s="50"/>
      <c r="E1528" s="50"/>
      <c r="F1528" s="50"/>
      <c r="G1528" s="280"/>
      <c r="H1528" s="293"/>
      <c r="I1528" s="292"/>
      <c r="J1528" s="292"/>
      <c r="K1528" s="200"/>
      <c r="L1528" s="200"/>
      <c r="M1528" s="89" t="str">
        <f>IFERROR(VLOOKUP(H1528,Lijsten!$H$1:$I$100,2,0),"")</f>
        <v/>
      </c>
      <c r="N1528" s="89" t="str" cm="1">
        <f t="array" ref="N1528">IFERROR(_xlfn.IFS(AND(LEFT(F1528,6)="Arbeid",RIGHT(F1528,3)&lt;&gt;"IKS"),IFERROR(VLOOKUP($G1528,Tb_KostenTypen[],2,0),"tarief"),RIGHT(F1528,3)="IKS","Uurtarief",LEFT(F1528,6)="Arbeid","Uurtarief",AND(LEFT(F1528,8)="Bijdrage",RIGHT(F1528,15)="(vrijwilligers)"),"Vast tarief"),"")</f>
        <v/>
      </c>
      <c r="O1528" s="90"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0"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1"/>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59"/>
      <c r="Z1528" s="49"/>
      <c r="AA1528" s="37" t="str" cm="1">
        <f t="array" ref="AA1528">IFERROR(IF(INDEX(SubsidieTabel!$Q$1:$T$9,MATCH($F1528,SubsidieTabel!$Q$1:$Q$9,0),IFERROR(MATCH(Methode_Keuze,SubsidieTabel!$Q$1:$T$1,0),2))&lt;&gt;1=TRUE,"ja",""),"")</f>
        <v/>
      </c>
    </row>
    <row r="1529" spans="1:27" ht="15" customHeight="1" x14ac:dyDescent="0.25">
      <c r="A1529" s="85"/>
      <c r="B1529" s="217" t="str">
        <f>IF(A1529&lt;&gt;"",_xlfn.MAXIFS($B$1:B1528,$A$1:A1528,A1529)+1,"")</f>
        <v/>
      </c>
      <c r="C1529" s="50"/>
      <c r="D1529" s="50"/>
      <c r="E1529" s="50"/>
      <c r="F1529" s="50"/>
      <c r="G1529" s="280"/>
      <c r="H1529" s="293"/>
      <c r="I1529" s="292"/>
      <c r="J1529" s="292"/>
      <c r="K1529" s="200"/>
      <c r="L1529" s="200"/>
      <c r="M1529" s="89" t="str">
        <f>IFERROR(VLOOKUP(H1529,Lijsten!$H$1:$I$100,2,0),"")</f>
        <v/>
      </c>
      <c r="N1529" s="89" t="str" cm="1">
        <f t="array" ref="N1529">IFERROR(_xlfn.IFS(AND(LEFT(F1529,6)="Arbeid",RIGHT(F1529,3)&lt;&gt;"IKS"),IFERROR(VLOOKUP($G1529,Tb_KostenTypen[],2,0),"tarief"),RIGHT(F1529,3)="IKS","Uurtarief",LEFT(F1529,6)="Arbeid","Uurtarief",AND(LEFT(F1529,8)="Bijdrage",RIGHT(F1529,15)="(vrijwilligers)"),"Vast tarief"),"")</f>
        <v/>
      </c>
      <c r="O1529" s="90"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0"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1"/>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59"/>
      <c r="Z1529" s="49"/>
      <c r="AA1529" s="37" t="str" cm="1">
        <f t="array" ref="AA1529">IFERROR(IF(INDEX(SubsidieTabel!$Q$1:$T$9,MATCH($F1529,SubsidieTabel!$Q$1:$Q$9,0),IFERROR(MATCH(Methode_Keuze,SubsidieTabel!$Q$1:$T$1,0),2))&lt;&gt;1=TRUE,"ja",""),"")</f>
        <v/>
      </c>
    </row>
    <row r="1530" spans="1:27" ht="15" customHeight="1" x14ac:dyDescent="0.25">
      <c r="A1530" s="85"/>
      <c r="B1530" s="217" t="str">
        <f>IF(A1530&lt;&gt;"",_xlfn.MAXIFS($B$1:B1529,$A$1:A1529,A1530)+1,"")</f>
        <v/>
      </c>
      <c r="C1530" s="50"/>
      <c r="D1530" s="50"/>
      <c r="E1530" s="50"/>
      <c r="F1530" s="50"/>
      <c r="G1530" s="280"/>
      <c r="H1530" s="293"/>
      <c r="I1530" s="292"/>
      <c r="J1530" s="292"/>
      <c r="K1530" s="200"/>
      <c r="L1530" s="200"/>
      <c r="M1530" s="89" t="str">
        <f>IFERROR(VLOOKUP(H1530,Lijsten!$H$1:$I$100,2,0),"")</f>
        <v/>
      </c>
      <c r="N1530" s="89" t="str" cm="1">
        <f t="array" ref="N1530">IFERROR(_xlfn.IFS(AND(LEFT(F1530,6)="Arbeid",RIGHT(F1530,3)&lt;&gt;"IKS"),IFERROR(VLOOKUP($G1530,Tb_KostenTypen[],2,0),"tarief"),RIGHT(F1530,3)="IKS","Uurtarief",LEFT(F1530,6)="Arbeid","Uurtarief",AND(LEFT(F1530,8)="Bijdrage",RIGHT(F1530,15)="(vrijwilligers)"),"Vast tarief"),"")</f>
        <v/>
      </c>
      <c r="O1530" s="90"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0"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1"/>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59"/>
      <c r="Z1530" s="49"/>
      <c r="AA1530" s="37" t="str" cm="1">
        <f t="array" ref="AA1530">IFERROR(IF(INDEX(SubsidieTabel!$Q$1:$T$9,MATCH($F1530,SubsidieTabel!$Q$1:$Q$9,0),IFERROR(MATCH(Methode_Keuze,SubsidieTabel!$Q$1:$T$1,0),2))&lt;&gt;1=TRUE,"ja",""),"")</f>
        <v/>
      </c>
    </row>
    <row r="1531" spans="1:27" ht="15" customHeight="1" x14ac:dyDescent="0.25">
      <c r="A1531" s="85"/>
      <c r="B1531" s="217" t="str">
        <f>IF(A1531&lt;&gt;"",_xlfn.MAXIFS($B$1:B1530,$A$1:A1530,A1531)+1,"")</f>
        <v/>
      </c>
      <c r="C1531" s="50"/>
      <c r="D1531" s="50"/>
      <c r="E1531" s="50"/>
      <c r="F1531" s="50"/>
      <c r="G1531" s="280"/>
      <c r="H1531" s="293"/>
      <c r="I1531" s="292"/>
      <c r="J1531" s="292"/>
      <c r="K1531" s="200"/>
      <c r="L1531" s="200"/>
      <c r="M1531" s="89" t="str">
        <f>IFERROR(VLOOKUP(H1531,Lijsten!$H$1:$I$100,2,0),"")</f>
        <v/>
      </c>
      <c r="N1531" s="89" t="str" cm="1">
        <f t="array" ref="N1531">IFERROR(_xlfn.IFS(AND(LEFT(F1531,6)="Arbeid",RIGHT(F1531,3)&lt;&gt;"IKS"),IFERROR(VLOOKUP($G1531,Tb_KostenTypen[],2,0),"tarief"),RIGHT(F1531,3)="IKS","Uurtarief",LEFT(F1531,6)="Arbeid","Uurtarief",AND(LEFT(F1531,8)="Bijdrage",RIGHT(F1531,15)="(vrijwilligers)"),"Vast tarief"),"")</f>
        <v/>
      </c>
      <c r="O1531" s="90"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0"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1"/>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59"/>
      <c r="Z1531" s="49"/>
      <c r="AA1531" s="37" t="str" cm="1">
        <f t="array" ref="AA1531">IFERROR(IF(INDEX(SubsidieTabel!$Q$1:$T$9,MATCH($F1531,SubsidieTabel!$Q$1:$Q$9,0),IFERROR(MATCH(Methode_Keuze,SubsidieTabel!$Q$1:$T$1,0),2))&lt;&gt;1=TRUE,"ja",""),"")</f>
        <v/>
      </c>
    </row>
    <row r="1532" spans="1:27" ht="15" customHeight="1" x14ac:dyDescent="0.25">
      <c r="A1532" s="85"/>
      <c r="B1532" s="217" t="str">
        <f>IF(A1532&lt;&gt;"",_xlfn.MAXIFS($B$1:B1531,$A$1:A1531,A1532)+1,"")</f>
        <v/>
      </c>
      <c r="C1532" s="50"/>
      <c r="D1532" s="50"/>
      <c r="E1532" s="50"/>
      <c r="F1532" s="50"/>
      <c r="G1532" s="280"/>
      <c r="H1532" s="293"/>
      <c r="I1532" s="292"/>
      <c r="J1532" s="292"/>
      <c r="K1532" s="200"/>
      <c r="L1532" s="200"/>
      <c r="M1532" s="89" t="str">
        <f>IFERROR(VLOOKUP(H1532,Lijsten!$H$1:$I$100,2,0),"")</f>
        <v/>
      </c>
      <c r="N1532" s="89" t="str" cm="1">
        <f t="array" ref="N1532">IFERROR(_xlfn.IFS(AND(LEFT(F1532,6)="Arbeid",RIGHT(F1532,3)&lt;&gt;"IKS"),IFERROR(VLOOKUP($G1532,Tb_KostenTypen[],2,0),"tarief"),RIGHT(F1532,3)="IKS","Uurtarief",LEFT(F1532,6)="Arbeid","Uurtarief",AND(LEFT(F1532,8)="Bijdrage",RIGHT(F1532,15)="(vrijwilligers)"),"Vast tarief"),"")</f>
        <v/>
      </c>
      <c r="O1532" s="90"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0"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1"/>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59"/>
      <c r="Z1532" s="49"/>
      <c r="AA1532" s="37" t="str" cm="1">
        <f t="array" ref="AA1532">IFERROR(IF(INDEX(SubsidieTabel!$Q$1:$T$9,MATCH($F1532,SubsidieTabel!$Q$1:$Q$9,0),IFERROR(MATCH(Methode_Keuze,SubsidieTabel!$Q$1:$T$1,0),2))&lt;&gt;1=TRUE,"ja",""),"")</f>
        <v/>
      </c>
    </row>
    <row r="1533" spans="1:27" ht="15" customHeight="1" x14ac:dyDescent="0.25">
      <c r="A1533" s="85"/>
      <c r="B1533" s="217" t="str">
        <f>IF(A1533&lt;&gt;"",_xlfn.MAXIFS($B$1:B1532,$A$1:A1532,A1533)+1,"")</f>
        <v/>
      </c>
      <c r="C1533" s="50"/>
      <c r="D1533" s="50"/>
      <c r="E1533" s="50"/>
      <c r="F1533" s="50"/>
      <c r="G1533" s="280"/>
      <c r="H1533" s="293"/>
      <c r="I1533" s="292"/>
      <c r="J1533" s="292"/>
      <c r="K1533" s="200"/>
      <c r="L1533" s="200"/>
      <c r="M1533" s="89" t="str">
        <f>IFERROR(VLOOKUP(H1533,Lijsten!$H$1:$I$100,2,0),"")</f>
        <v/>
      </c>
      <c r="N1533" s="89" t="str" cm="1">
        <f t="array" ref="N1533">IFERROR(_xlfn.IFS(AND(LEFT(F1533,6)="Arbeid",RIGHT(F1533,3)&lt;&gt;"IKS"),IFERROR(VLOOKUP($G1533,Tb_KostenTypen[],2,0),"tarief"),RIGHT(F1533,3)="IKS","Uurtarief",LEFT(F1533,6)="Arbeid","Uurtarief",AND(LEFT(F1533,8)="Bijdrage",RIGHT(F1533,15)="(vrijwilligers)"),"Vast tarief"),"")</f>
        <v/>
      </c>
      <c r="O1533" s="90"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0"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1"/>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59"/>
      <c r="Z1533" s="49"/>
      <c r="AA1533" s="37" t="str" cm="1">
        <f t="array" ref="AA1533">IFERROR(IF(INDEX(SubsidieTabel!$Q$1:$T$9,MATCH($F1533,SubsidieTabel!$Q$1:$Q$9,0),IFERROR(MATCH(Methode_Keuze,SubsidieTabel!$Q$1:$T$1,0),2))&lt;&gt;1=TRUE,"ja",""),"")</f>
        <v/>
      </c>
    </row>
    <row r="1534" spans="1:27" ht="15" customHeight="1" x14ac:dyDescent="0.25">
      <c r="A1534" s="85"/>
      <c r="B1534" s="217" t="str">
        <f>IF(A1534&lt;&gt;"",_xlfn.MAXIFS($B$1:B1533,$A$1:A1533,A1534)+1,"")</f>
        <v/>
      </c>
      <c r="C1534" s="50"/>
      <c r="D1534" s="50"/>
      <c r="E1534" s="50"/>
      <c r="F1534" s="50"/>
      <c r="G1534" s="280"/>
      <c r="H1534" s="293"/>
      <c r="I1534" s="292"/>
      <c r="J1534" s="292"/>
      <c r="K1534" s="200"/>
      <c r="L1534" s="200"/>
      <c r="M1534" s="89" t="str">
        <f>IFERROR(VLOOKUP(H1534,Lijsten!$H$1:$I$100,2,0),"")</f>
        <v/>
      </c>
      <c r="N1534" s="89" t="str" cm="1">
        <f t="array" ref="N1534">IFERROR(_xlfn.IFS(AND(LEFT(F1534,6)="Arbeid",RIGHT(F1534,3)&lt;&gt;"IKS"),IFERROR(VLOOKUP($G1534,Tb_KostenTypen[],2,0),"tarief"),RIGHT(F1534,3)="IKS","Uurtarief",LEFT(F1534,6)="Arbeid","Uurtarief",AND(LEFT(F1534,8)="Bijdrage",RIGHT(F1534,15)="(vrijwilligers)"),"Vast tarief"),"")</f>
        <v/>
      </c>
      <c r="O1534" s="90"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0"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1"/>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59"/>
      <c r="Z1534" s="49"/>
      <c r="AA1534" s="37" t="str" cm="1">
        <f t="array" ref="AA1534">IFERROR(IF(INDEX(SubsidieTabel!$Q$1:$T$9,MATCH($F1534,SubsidieTabel!$Q$1:$Q$9,0),IFERROR(MATCH(Methode_Keuze,SubsidieTabel!$Q$1:$T$1,0),2))&lt;&gt;1=TRUE,"ja",""),"")</f>
        <v/>
      </c>
    </row>
    <row r="1535" spans="1:27" ht="15" customHeight="1" x14ac:dyDescent="0.25">
      <c r="A1535" s="85"/>
      <c r="B1535" s="217" t="str">
        <f>IF(A1535&lt;&gt;"",_xlfn.MAXIFS($B$1:B1534,$A$1:A1534,A1535)+1,"")</f>
        <v/>
      </c>
      <c r="C1535" s="50"/>
      <c r="D1535" s="50"/>
      <c r="E1535" s="50"/>
      <c r="F1535" s="50"/>
      <c r="G1535" s="280"/>
      <c r="H1535" s="293"/>
      <c r="I1535" s="292"/>
      <c r="J1535" s="292"/>
      <c r="K1535" s="200"/>
      <c r="L1535" s="200"/>
      <c r="M1535" s="89" t="str">
        <f>IFERROR(VLOOKUP(H1535,Lijsten!$H$1:$I$100,2,0),"")</f>
        <v/>
      </c>
      <c r="N1535" s="89" t="str" cm="1">
        <f t="array" ref="N1535">IFERROR(_xlfn.IFS(AND(LEFT(F1535,6)="Arbeid",RIGHT(F1535,3)&lt;&gt;"IKS"),IFERROR(VLOOKUP($G1535,Tb_KostenTypen[],2,0),"tarief"),RIGHT(F1535,3)="IKS","Uurtarief",LEFT(F1535,6)="Arbeid","Uurtarief",AND(LEFT(F1535,8)="Bijdrage",RIGHT(F1535,15)="(vrijwilligers)"),"Vast tarief"),"")</f>
        <v/>
      </c>
      <c r="O1535" s="90"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0"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1"/>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59"/>
      <c r="Z1535" s="49"/>
      <c r="AA1535" s="37" t="str" cm="1">
        <f t="array" ref="AA1535">IFERROR(IF(INDEX(SubsidieTabel!$Q$1:$T$9,MATCH($F1535,SubsidieTabel!$Q$1:$Q$9,0),IFERROR(MATCH(Methode_Keuze,SubsidieTabel!$Q$1:$T$1,0),2))&lt;&gt;1=TRUE,"ja",""),"")</f>
        <v/>
      </c>
    </row>
    <row r="1536" spans="1:27" ht="15" customHeight="1" x14ac:dyDescent="0.25">
      <c r="A1536" s="85"/>
      <c r="B1536" s="217" t="str">
        <f>IF(A1536&lt;&gt;"",_xlfn.MAXIFS($B$1:B1535,$A$1:A1535,A1536)+1,"")</f>
        <v/>
      </c>
      <c r="C1536" s="50"/>
      <c r="D1536" s="50"/>
      <c r="E1536" s="50"/>
      <c r="F1536" s="50"/>
      <c r="G1536" s="280"/>
      <c r="H1536" s="293"/>
      <c r="I1536" s="292"/>
      <c r="J1536" s="292"/>
      <c r="K1536" s="200"/>
      <c r="L1536" s="200"/>
      <c r="M1536" s="89" t="str">
        <f>IFERROR(VLOOKUP(H1536,Lijsten!$H$1:$I$100,2,0),"")</f>
        <v/>
      </c>
      <c r="N1536" s="89" t="str" cm="1">
        <f t="array" ref="N1536">IFERROR(_xlfn.IFS(AND(LEFT(F1536,6)="Arbeid",RIGHT(F1536,3)&lt;&gt;"IKS"),IFERROR(VLOOKUP($G1536,Tb_KostenTypen[],2,0),"tarief"),RIGHT(F1536,3)="IKS","Uurtarief",LEFT(F1536,6)="Arbeid","Uurtarief",AND(LEFT(F1536,8)="Bijdrage",RIGHT(F1536,15)="(vrijwilligers)"),"Vast tarief"),"")</f>
        <v/>
      </c>
      <c r="O1536" s="90"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0"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1"/>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59"/>
      <c r="Z1536" s="49"/>
      <c r="AA1536" s="37" t="str" cm="1">
        <f t="array" ref="AA1536">IFERROR(IF(INDEX(SubsidieTabel!$Q$1:$T$9,MATCH($F1536,SubsidieTabel!$Q$1:$Q$9,0),IFERROR(MATCH(Methode_Keuze,SubsidieTabel!$Q$1:$T$1,0),2))&lt;&gt;1=TRUE,"ja",""),"")</f>
        <v/>
      </c>
    </row>
    <row r="1537" spans="1:27" ht="15" customHeight="1" x14ac:dyDescent="0.25">
      <c r="A1537" s="85"/>
      <c r="B1537" s="217" t="str">
        <f>IF(A1537&lt;&gt;"",_xlfn.MAXIFS($B$1:B1536,$A$1:A1536,A1537)+1,"")</f>
        <v/>
      </c>
      <c r="C1537" s="50"/>
      <c r="D1537" s="50"/>
      <c r="E1537" s="50"/>
      <c r="F1537" s="50"/>
      <c r="G1537" s="280"/>
      <c r="H1537" s="293"/>
      <c r="I1537" s="292"/>
      <c r="J1537" s="292"/>
      <c r="K1537" s="200"/>
      <c r="L1537" s="200"/>
      <c r="M1537" s="89" t="str">
        <f>IFERROR(VLOOKUP(H1537,Lijsten!$H$1:$I$100,2,0),"")</f>
        <v/>
      </c>
      <c r="N1537" s="89" t="str" cm="1">
        <f t="array" ref="N1537">IFERROR(_xlfn.IFS(AND(LEFT(F1537,6)="Arbeid",RIGHT(F1537,3)&lt;&gt;"IKS"),IFERROR(VLOOKUP($G1537,Tb_KostenTypen[],2,0),"tarief"),RIGHT(F1537,3)="IKS","Uurtarief",LEFT(F1537,6)="Arbeid","Uurtarief",AND(LEFT(F1537,8)="Bijdrage",RIGHT(F1537,15)="(vrijwilligers)"),"Vast tarief"),"")</f>
        <v/>
      </c>
      <c r="O1537" s="90"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0"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1"/>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59"/>
      <c r="Z1537" s="49"/>
      <c r="AA1537" s="37" t="str" cm="1">
        <f t="array" ref="AA1537">IFERROR(IF(INDEX(SubsidieTabel!$Q$1:$T$9,MATCH($F1537,SubsidieTabel!$Q$1:$Q$9,0),IFERROR(MATCH(Methode_Keuze,SubsidieTabel!$Q$1:$T$1,0),2))&lt;&gt;1=TRUE,"ja",""),"")</f>
        <v/>
      </c>
    </row>
    <row r="1538" spans="1:27" ht="15" customHeight="1" x14ac:dyDescent="0.25">
      <c r="A1538" s="85"/>
      <c r="B1538" s="217" t="str">
        <f>IF(A1538&lt;&gt;"",_xlfn.MAXIFS($B$1:B1537,$A$1:A1537,A1538)+1,"")</f>
        <v/>
      </c>
      <c r="C1538" s="50"/>
      <c r="D1538" s="50"/>
      <c r="E1538" s="50"/>
      <c r="F1538" s="50"/>
      <c r="G1538" s="280"/>
      <c r="H1538" s="293"/>
      <c r="I1538" s="292"/>
      <c r="J1538" s="292"/>
      <c r="K1538" s="200"/>
      <c r="L1538" s="200"/>
      <c r="M1538" s="89" t="str">
        <f>IFERROR(VLOOKUP(H1538,Lijsten!$H$1:$I$100,2,0),"")</f>
        <v/>
      </c>
      <c r="N1538" s="89" t="str" cm="1">
        <f t="array" ref="N1538">IFERROR(_xlfn.IFS(AND(LEFT(F1538,6)="Arbeid",RIGHT(F1538,3)&lt;&gt;"IKS"),IFERROR(VLOOKUP($G1538,Tb_KostenTypen[],2,0),"tarief"),RIGHT(F1538,3)="IKS","Uurtarief",LEFT(F1538,6)="Arbeid","Uurtarief",AND(LEFT(F1538,8)="Bijdrage",RIGHT(F1538,15)="(vrijwilligers)"),"Vast tarief"),"")</f>
        <v/>
      </c>
      <c r="O1538" s="90"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0"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1"/>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59"/>
      <c r="Z1538" s="49"/>
      <c r="AA1538" s="37" t="str" cm="1">
        <f t="array" ref="AA1538">IFERROR(IF(INDEX(SubsidieTabel!$Q$1:$T$9,MATCH($F1538,SubsidieTabel!$Q$1:$Q$9,0),IFERROR(MATCH(Methode_Keuze,SubsidieTabel!$Q$1:$T$1,0),2))&lt;&gt;1=TRUE,"ja",""),"")</f>
        <v/>
      </c>
    </row>
    <row r="1539" spans="1:27" ht="15" customHeight="1" x14ac:dyDescent="0.25">
      <c r="A1539" s="85"/>
      <c r="B1539" s="217" t="str">
        <f>IF(A1539&lt;&gt;"",_xlfn.MAXIFS($B$1:B1538,$A$1:A1538,A1539)+1,"")</f>
        <v/>
      </c>
      <c r="C1539" s="50"/>
      <c r="D1539" s="50"/>
      <c r="E1539" s="50"/>
      <c r="F1539" s="50"/>
      <c r="G1539" s="280"/>
      <c r="H1539" s="293"/>
      <c r="I1539" s="292"/>
      <c r="J1539" s="292"/>
      <c r="K1539" s="200"/>
      <c r="L1539" s="200"/>
      <c r="M1539" s="89" t="str">
        <f>IFERROR(VLOOKUP(H1539,Lijsten!$H$1:$I$100,2,0),"")</f>
        <v/>
      </c>
      <c r="N1539" s="89" t="str" cm="1">
        <f t="array" ref="N1539">IFERROR(_xlfn.IFS(AND(LEFT(F1539,6)="Arbeid",RIGHT(F1539,3)&lt;&gt;"IKS"),IFERROR(VLOOKUP($G1539,Tb_KostenTypen[],2,0),"tarief"),RIGHT(F1539,3)="IKS","Uurtarief",LEFT(F1539,6)="Arbeid","Uurtarief",AND(LEFT(F1539,8)="Bijdrage",RIGHT(F1539,15)="(vrijwilligers)"),"Vast tarief"),"")</f>
        <v/>
      </c>
      <c r="O1539" s="90"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0"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1"/>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59"/>
      <c r="Z1539" s="49"/>
      <c r="AA1539" s="37" t="str" cm="1">
        <f t="array" ref="AA1539">IFERROR(IF(INDEX(SubsidieTabel!$Q$1:$T$9,MATCH($F1539,SubsidieTabel!$Q$1:$Q$9,0),IFERROR(MATCH(Methode_Keuze,SubsidieTabel!$Q$1:$T$1,0),2))&lt;&gt;1=TRUE,"ja",""),"")</f>
        <v/>
      </c>
    </row>
    <row r="1540" spans="1:27" ht="15" customHeight="1" x14ac:dyDescent="0.25">
      <c r="A1540" s="85"/>
      <c r="B1540" s="217" t="str">
        <f>IF(A1540&lt;&gt;"",_xlfn.MAXIFS($B$1:B1539,$A$1:A1539,A1540)+1,"")</f>
        <v/>
      </c>
      <c r="C1540" s="50"/>
      <c r="D1540" s="50"/>
      <c r="E1540" s="50"/>
      <c r="F1540" s="50"/>
      <c r="G1540" s="280"/>
      <c r="H1540" s="293"/>
      <c r="I1540" s="292"/>
      <c r="J1540" s="292"/>
      <c r="K1540" s="200"/>
      <c r="L1540" s="200"/>
      <c r="M1540" s="89" t="str">
        <f>IFERROR(VLOOKUP(H1540,Lijsten!$H$1:$I$100,2,0),"")</f>
        <v/>
      </c>
      <c r="N1540" s="89" t="str" cm="1">
        <f t="array" ref="N1540">IFERROR(_xlfn.IFS(AND(LEFT(F1540,6)="Arbeid",RIGHT(F1540,3)&lt;&gt;"IKS"),IFERROR(VLOOKUP($G1540,Tb_KostenTypen[],2,0),"tarief"),RIGHT(F1540,3)="IKS","Uurtarief",LEFT(F1540,6)="Arbeid","Uurtarief",AND(LEFT(F1540,8)="Bijdrage",RIGHT(F1540,15)="(vrijwilligers)"),"Vast tarief"),"")</f>
        <v/>
      </c>
      <c r="O1540" s="90"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0"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1"/>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59"/>
      <c r="Z1540" s="49"/>
      <c r="AA1540" s="37" t="str" cm="1">
        <f t="array" ref="AA1540">IFERROR(IF(INDEX(SubsidieTabel!$Q$1:$T$9,MATCH($F1540,SubsidieTabel!$Q$1:$Q$9,0),IFERROR(MATCH(Methode_Keuze,SubsidieTabel!$Q$1:$T$1,0),2))&lt;&gt;1=TRUE,"ja",""),"")</f>
        <v/>
      </c>
    </row>
    <row r="1541" spans="1:27" ht="15" customHeight="1" x14ac:dyDescent="0.25">
      <c r="A1541" s="85"/>
      <c r="B1541" s="217" t="str">
        <f>IF(A1541&lt;&gt;"",_xlfn.MAXIFS($B$1:B1540,$A$1:A1540,A1541)+1,"")</f>
        <v/>
      </c>
      <c r="C1541" s="50"/>
      <c r="D1541" s="50"/>
      <c r="E1541" s="50"/>
      <c r="F1541" s="50"/>
      <c r="G1541" s="280"/>
      <c r="H1541" s="293"/>
      <c r="I1541" s="292"/>
      <c r="J1541" s="292"/>
      <c r="K1541" s="200"/>
      <c r="L1541" s="200"/>
      <c r="M1541" s="89" t="str">
        <f>IFERROR(VLOOKUP(H1541,Lijsten!$H$1:$I$100,2,0),"")</f>
        <v/>
      </c>
      <c r="N1541" s="89" t="str" cm="1">
        <f t="array" ref="N1541">IFERROR(_xlfn.IFS(AND(LEFT(F1541,6)="Arbeid",RIGHT(F1541,3)&lt;&gt;"IKS"),IFERROR(VLOOKUP($G1541,Tb_KostenTypen[],2,0),"tarief"),RIGHT(F1541,3)="IKS","Uurtarief",LEFT(F1541,6)="Arbeid","Uurtarief",AND(LEFT(F1541,8)="Bijdrage",RIGHT(F1541,15)="(vrijwilligers)"),"Vast tarief"),"")</f>
        <v/>
      </c>
      <c r="O1541" s="90"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0"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1"/>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59"/>
      <c r="Z1541" s="49"/>
      <c r="AA1541" s="37" t="str" cm="1">
        <f t="array" ref="AA1541">IFERROR(IF(INDEX(SubsidieTabel!$Q$1:$T$9,MATCH($F1541,SubsidieTabel!$Q$1:$Q$9,0),IFERROR(MATCH(Methode_Keuze,SubsidieTabel!$Q$1:$T$1,0),2))&lt;&gt;1=TRUE,"ja",""),"")</f>
        <v/>
      </c>
    </row>
    <row r="1542" spans="1:27" ht="15" customHeight="1" x14ac:dyDescent="0.25">
      <c r="A1542" s="85"/>
      <c r="B1542" s="217" t="str">
        <f>IF(A1542&lt;&gt;"",_xlfn.MAXIFS($B$1:B1541,$A$1:A1541,A1542)+1,"")</f>
        <v/>
      </c>
      <c r="C1542" s="50"/>
      <c r="D1542" s="50"/>
      <c r="E1542" s="50"/>
      <c r="F1542" s="50"/>
      <c r="G1542" s="280"/>
      <c r="H1542" s="293"/>
      <c r="I1542" s="292"/>
      <c r="J1542" s="292"/>
      <c r="K1542" s="200"/>
      <c r="L1542" s="200"/>
      <c r="M1542" s="89" t="str">
        <f>IFERROR(VLOOKUP(H1542,Lijsten!$H$1:$I$100,2,0),"")</f>
        <v/>
      </c>
      <c r="N1542" s="89" t="str" cm="1">
        <f t="array" ref="N1542">IFERROR(_xlfn.IFS(AND(LEFT(F1542,6)="Arbeid",RIGHT(F1542,3)&lt;&gt;"IKS"),IFERROR(VLOOKUP($G1542,Tb_KostenTypen[],2,0),"tarief"),RIGHT(F1542,3)="IKS","Uurtarief",LEFT(F1542,6)="Arbeid","Uurtarief",AND(LEFT(F1542,8)="Bijdrage",RIGHT(F1542,15)="(vrijwilligers)"),"Vast tarief"),"")</f>
        <v/>
      </c>
      <c r="O1542" s="90"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0"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1"/>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59"/>
      <c r="Z1542" s="49"/>
      <c r="AA1542" s="37" t="str" cm="1">
        <f t="array" ref="AA1542">IFERROR(IF(INDEX(SubsidieTabel!$Q$1:$T$9,MATCH($F1542,SubsidieTabel!$Q$1:$Q$9,0),IFERROR(MATCH(Methode_Keuze,SubsidieTabel!$Q$1:$T$1,0),2))&lt;&gt;1=TRUE,"ja",""),"")</f>
        <v/>
      </c>
    </row>
    <row r="1543" spans="1:27" ht="15" customHeight="1" x14ac:dyDescent="0.25">
      <c r="A1543" s="85"/>
      <c r="B1543" s="217" t="str">
        <f>IF(A1543&lt;&gt;"",_xlfn.MAXIFS($B$1:B1542,$A$1:A1542,A1543)+1,"")</f>
        <v/>
      </c>
      <c r="C1543" s="50"/>
      <c r="D1543" s="50"/>
      <c r="E1543" s="50"/>
      <c r="F1543" s="50"/>
      <c r="G1543" s="280"/>
      <c r="H1543" s="293"/>
      <c r="I1543" s="292"/>
      <c r="J1543" s="292"/>
      <c r="K1543" s="200"/>
      <c r="L1543" s="200"/>
      <c r="M1543" s="89" t="str">
        <f>IFERROR(VLOOKUP(H1543,Lijsten!$H$1:$I$100,2,0),"")</f>
        <v/>
      </c>
      <c r="N1543" s="89" t="str" cm="1">
        <f t="array" ref="N1543">IFERROR(_xlfn.IFS(AND(LEFT(F1543,6)="Arbeid",RIGHT(F1543,3)&lt;&gt;"IKS"),IFERROR(VLOOKUP($G1543,Tb_KostenTypen[],2,0),"tarief"),RIGHT(F1543,3)="IKS","Uurtarief",LEFT(F1543,6)="Arbeid","Uurtarief",AND(LEFT(F1543,8)="Bijdrage",RIGHT(F1543,15)="(vrijwilligers)"),"Vast tarief"),"")</f>
        <v/>
      </c>
      <c r="O1543" s="90"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0"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1"/>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59"/>
      <c r="Z1543" s="49"/>
      <c r="AA1543" s="37" t="str" cm="1">
        <f t="array" ref="AA1543">IFERROR(IF(INDEX(SubsidieTabel!$Q$1:$T$9,MATCH($F1543,SubsidieTabel!$Q$1:$Q$9,0),IFERROR(MATCH(Methode_Keuze,SubsidieTabel!$Q$1:$T$1,0),2))&lt;&gt;1=TRUE,"ja",""),"")</f>
        <v/>
      </c>
    </row>
    <row r="1544" spans="1:27" ht="15" customHeight="1" x14ac:dyDescent="0.25">
      <c r="A1544" s="85"/>
      <c r="B1544" s="217" t="str">
        <f>IF(A1544&lt;&gt;"",_xlfn.MAXIFS($B$1:B1543,$A$1:A1543,A1544)+1,"")</f>
        <v/>
      </c>
      <c r="C1544" s="50"/>
      <c r="D1544" s="50"/>
      <c r="E1544" s="50"/>
      <c r="F1544" s="50"/>
      <c r="G1544" s="280"/>
      <c r="H1544" s="293"/>
      <c r="I1544" s="292"/>
      <c r="J1544" s="292"/>
      <c r="K1544" s="200"/>
      <c r="L1544" s="200"/>
      <c r="M1544" s="89" t="str">
        <f>IFERROR(VLOOKUP(H1544,Lijsten!$H$1:$I$100,2,0),"")</f>
        <v/>
      </c>
      <c r="N1544" s="89" t="str" cm="1">
        <f t="array" ref="N1544">IFERROR(_xlfn.IFS(AND(LEFT(F1544,6)="Arbeid",RIGHT(F1544,3)&lt;&gt;"IKS"),IFERROR(VLOOKUP($G1544,Tb_KostenTypen[],2,0),"tarief"),RIGHT(F1544,3)="IKS","Uurtarief",LEFT(F1544,6)="Arbeid","Uurtarief",AND(LEFT(F1544,8)="Bijdrage",RIGHT(F1544,15)="(vrijwilligers)"),"Vast tarief"),"")</f>
        <v/>
      </c>
      <c r="O1544" s="90"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0"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1"/>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59"/>
      <c r="Z1544" s="49"/>
      <c r="AA1544" s="37" t="str" cm="1">
        <f t="array" ref="AA1544">IFERROR(IF(INDEX(SubsidieTabel!$Q$1:$T$9,MATCH($F1544,SubsidieTabel!$Q$1:$Q$9,0),IFERROR(MATCH(Methode_Keuze,SubsidieTabel!$Q$1:$T$1,0),2))&lt;&gt;1=TRUE,"ja",""),"")</f>
        <v/>
      </c>
    </row>
    <row r="1545" spans="1:27" ht="15" customHeight="1" x14ac:dyDescent="0.25">
      <c r="A1545" s="85"/>
      <c r="B1545" s="217" t="str">
        <f>IF(A1545&lt;&gt;"",_xlfn.MAXIFS($B$1:B1544,$A$1:A1544,A1545)+1,"")</f>
        <v/>
      </c>
      <c r="C1545" s="50"/>
      <c r="D1545" s="50"/>
      <c r="E1545" s="50"/>
      <c r="F1545" s="50"/>
      <c r="G1545" s="280"/>
      <c r="H1545" s="293"/>
      <c r="I1545" s="292"/>
      <c r="J1545" s="292"/>
      <c r="K1545" s="200"/>
      <c r="L1545" s="200"/>
      <c r="M1545" s="89" t="str">
        <f>IFERROR(VLOOKUP(H1545,Lijsten!$H$1:$I$100,2,0),"")</f>
        <v/>
      </c>
      <c r="N1545" s="89" t="str" cm="1">
        <f t="array" ref="N1545">IFERROR(_xlfn.IFS(AND(LEFT(F1545,6)="Arbeid",RIGHT(F1545,3)&lt;&gt;"IKS"),IFERROR(VLOOKUP($G1545,Tb_KostenTypen[],2,0),"tarief"),RIGHT(F1545,3)="IKS","Uurtarief",LEFT(F1545,6)="Arbeid","Uurtarief",AND(LEFT(F1545,8)="Bijdrage",RIGHT(F1545,15)="(vrijwilligers)"),"Vast tarief"),"")</f>
        <v/>
      </c>
      <c r="O1545" s="90"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0"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1"/>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59"/>
      <c r="Z1545" s="49"/>
      <c r="AA1545" s="37" t="str" cm="1">
        <f t="array" ref="AA1545">IFERROR(IF(INDEX(SubsidieTabel!$Q$1:$T$9,MATCH($F1545,SubsidieTabel!$Q$1:$Q$9,0),IFERROR(MATCH(Methode_Keuze,SubsidieTabel!$Q$1:$T$1,0),2))&lt;&gt;1=TRUE,"ja",""),"")</f>
        <v/>
      </c>
    </row>
    <row r="1546" spans="1:27" ht="15" customHeight="1" x14ac:dyDescent="0.25">
      <c r="A1546" s="85"/>
      <c r="B1546" s="217" t="str">
        <f>IF(A1546&lt;&gt;"",_xlfn.MAXIFS($B$1:B1545,$A$1:A1545,A1546)+1,"")</f>
        <v/>
      </c>
      <c r="C1546" s="50"/>
      <c r="D1546" s="50"/>
      <c r="E1546" s="50"/>
      <c r="F1546" s="50"/>
      <c r="G1546" s="280"/>
      <c r="H1546" s="293"/>
      <c r="I1546" s="292"/>
      <c r="J1546" s="292"/>
      <c r="K1546" s="200"/>
      <c r="L1546" s="200"/>
      <c r="M1546" s="89" t="str">
        <f>IFERROR(VLOOKUP(H1546,Lijsten!$H$1:$I$100,2,0),"")</f>
        <v/>
      </c>
      <c r="N1546" s="89" t="str" cm="1">
        <f t="array" ref="N1546">IFERROR(_xlfn.IFS(AND(LEFT(F1546,6)="Arbeid",RIGHT(F1546,3)&lt;&gt;"IKS"),IFERROR(VLOOKUP($G1546,Tb_KostenTypen[],2,0),"tarief"),RIGHT(F1546,3)="IKS","Uurtarief",LEFT(F1546,6)="Arbeid","Uurtarief",AND(LEFT(F1546,8)="Bijdrage",RIGHT(F1546,15)="(vrijwilligers)"),"Vast tarief"),"")</f>
        <v/>
      </c>
      <c r="O1546" s="90"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0"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1"/>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59"/>
      <c r="Z1546" s="49"/>
      <c r="AA1546" s="37" t="str" cm="1">
        <f t="array" ref="AA1546">IFERROR(IF(INDEX(SubsidieTabel!$Q$1:$T$9,MATCH($F1546,SubsidieTabel!$Q$1:$Q$9,0),IFERROR(MATCH(Methode_Keuze,SubsidieTabel!$Q$1:$T$1,0),2))&lt;&gt;1=TRUE,"ja",""),"")</f>
        <v/>
      </c>
    </row>
    <row r="1547" spans="1:27" ht="15" customHeight="1" x14ac:dyDescent="0.25">
      <c r="A1547" s="85"/>
      <c r="B1547" s="217" t="str">
        <f>IF(A1547&lt;&gt;"",_xlfn.MAXIFS($B$1:B1546,$A$1:A1546,A1547)+1,"")</f>
        <v/>
      </c>
      <c r="C1547" s="50"/>
      <c r="D1547" s="50"/>
      <c r="E1547" s="50"/>
      <c r="F1547" s="50"/>
      <c r="G1547" s="280"/>
      <c r="H1547" s="293"/>
      <c r="I1547" s="292"/>
      <c r="J1547" s="292"/>
      <c r="K1547" s="200"/>
      <c r="L1547" s="200"/>
      <c r="M1547" s="89" t="str">
        <f>IFERROR(VLOOKUP(H1547,Lijsten!$H$1:$I$100,2,0),"")</f>
        <v/>
      </c>
      <c r="N1547" s="89" t="str" cm="1">
        <f t="array" ref="N1547">IFERROR(_xlfn.IFS(AND(LEFT(F1547,6)="Arbeid",RIGHT(F1547,3)&lt;&gt;"IKS"),IFERROR(VLOOKUP($G1547,Tb_KostenTypen[],2,0),"tarief"),RIGHT(F1547,3)="IKS","Uurtarief",LEFT(F1547,6)="Arbeid","Uurtarief",AND(LEFT(F1547,8)="Bijdrage",RIGHT(F1547,15)="(vrijwilligers)"),"Vast tarief"),"")</f>
        <v/>
      </c>
      <c r="O1547" s="90"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0"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1"/>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59"/>
      <c r="Z1547" s="49"/>
      <c r="AA1547" s="37" t="str" cm="1">
        <f t="array" ref="AA1547">IFERROR(IF(INDEX(SubsidieTabel!$Q$1:$T$9,MATCH($F1547,SubsidieTabel!$Q$1:$Q$9,0),IFERROR(MATCH(Methode_Keuze,SubsidieTabel!$Q$1:$T$1,0),2))&lt;&gt;1=TRUE,"ja",""),"")</f>
        <v/>
      </c>
    </row>
    <row r="1548" spans="1:27" ht="15" customHeight="1" x14ac:dyDescent="0.25">
      <c r="A1548" s="85"/>
      <c r="B1548" s="217" t="str">
        <f>IF(A1548&lt;&gt;"",_xlfn.MAXIFS($B$1:B1547,$A$1:A1547,A1548)+1,"")</f>
        <v/>
      </c>
      <c r="C1548" s="50"/>
      <c r="D1548" s="50"/>
      <c r="E1548" s="50"/>
      <c r="F1548" s="50"/>
      <c r="G1548" s="280"/>
      <c r="H1548" s="293"/>
      <c r="I1548" s="292"/>
      <c r="J1548" s="292"/>
      <c r="K1548" s="200"/>
      <c r="L1548" s="200"/>
      <c r="M1548" s="89" t="str">
        <f>IFERROR(VLOOKUP(H1548,Lijsten!$H$1:$I$100,2,0),"")</f>
        <v/>
      </c>
      <c r="N1548" s="89" t="str" cm="1">
        <f t="array" ref="N1548">IFERROR(_xlfn.IFS(AND(LEFT(F1548,6)="Arbeid",RIGHT(F1548,3)&lt;&gt;"IKS"),IFERROR(VLOOKUP($G1548,Tb_KostenTypen[],2,0),"tarief"),RIGHT(F1548,3)="IKS","Uurtarief",LEFT(F1548,6)="Arbeid","Uurtarief",AND(LEFT(F1548,8)="Bijdrage",RIGHT(F1548,15)="(vrijwilligers)"),"Vast tarief"),"")</f>
        <v/>
      </c>
      <c r="O1548" s="90"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0"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1"/>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59"/>
      <c r="Z1548" s="49"/>
      <c r="AA1548" s="37" t="str" cm="1">
        <f t="array" ref="AA1548">IFERROR(IF(INDEX(SubsidieTabel!$Q$1:$T$9,MATCH($F1548,SubsidieTabel!$Q$1:$Q$9,0),IFERROR(MATCH(Methode_Keuze,SubsidieTabel!$Q$1:$T$1,0),2))&lt;&gt;1=TRUE,"ja",""),"")</f>
        <v/>
      </c>
    </row>
    <row r="1549" spans="1:27" ht="15" customHeight="1" x14ac:dyDescent="0.25">
      <c r="A1549" s="85"/>
      <c r="B1549" s="217" t="str">
        <f>IF(A1549&lt;&gt;"",_xlfn.MAXIFS($B$1:B1548,$A$1:A1548,A1549)+1,"")</f>
        <v/>
      </c>
      <c r="C1549" s="50"/>
      <c r="D1549" s="50"/>
      <c r="E1549" s="50"/>
      <c r="F1549" s="50"/>
      <c r="G1549" s="280"/>
      <c r="H1549" s="293"/>
      <c r="I1549" s="292"/>
      <c r="J1549" s="292"/>
      <c r="K1549" s="200"/>
      <c r="L1549" s="200"/>
      <c r="M1549" s="89" t="str">
        <f>IFERROR(VLOOKUP(H1549,Lijsten!$H$1:$I$100,2,0),"")</f>
        <v/>
      </c>
      <c r="N1549" s="89" t="str" cm="1">
        <f t="array" ref="N1549">IFERROR(_xlfn.IFS(AND(LEFT(F1549,6)="Arbeid",RIGHT(F1549,3)&lt;&gt;"IKS"),IFERROR(VLOOKUP($G1549,Tb_KostenTypen[],2,0),"tarief"),RIGHT(F1549,3)="IKS","Uurtarief",LEFT(F1549,6)="Arbeid","Uurtarief",AND(LEFT(F1549,8)="Bijdrage",RIGHT(F1549,15)="(vrijwilligers)"),"Vast tarief"),"")</f>
        <v/>
      </c>
      <c r="O1549" s="90"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0"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1"/>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59"/>
      <c r="Z1549" s="49"/>
      <c r="AA1549" s="37" t="str" cm="1">
        <f t="array" ref="AA1549">IFERROR(IF(INDEX(SubsidieTabel!$Q$1:$T$9,MATCH($F1549,SubsidieTabel!$Q$1:$Q$9,0),IFERROR(MATCH(Methode_Keuze,SubsidieTabel!$Q$1:$T$1,0),2))&lt;&gt;1=TRUE,"ja",""),"")</f>
        <v/>
      </c>
    </row>
    <row r="1550" spans="1:27" ht="15" customHeight="1" x14ac:dyDescent="0.25">
      <c r="A1550" s="85"/>
      <c r="B1550" s="217" t="str">
        <f>IF(A1550&lt;&gt;"",_xlfn.MAXIFS($B$1:B1549,$A$1:A1549,A1550)+1,"")</f>
        <v/>
      </c>
      <c r="C1550" s="50"/>
      <c r="D1550" s="50"/>
      <c r="E1550" s="50"/>
      <c r="F1550" s="50"/>
      <c r="G1550" s="280"/>
      <c r="H1550" s="293"/>
      <c r="I1550" s="292"/>
      <c r="J1550" s="292"/>
      <c r="K1550" s="200"/>
      <c r="L1550" s="200"/>
      <c r="M1550" s="89" t="str">
        <f>IFERROR(VLOOKUP(H1550,Lijsten!$H$1:$I$100,2,0),"")</f>
        <v/>
      </c>
      <c r="N1550" s="89" t="str" cm="1">
        <f t="array" ref="N1550">IFERROR(_xlfn.IFS(AND(LEFT(F1550,6)="Arbeid",RIGHT(F1550,3)&lt;&gt;"IKS"),IFERROR(VLOOKUP($G1550,Tb_KostenTypen[],2,0),"tarief"),RIGHT(F1550,3)="IKS","Uurtarief",LEFT(F1550,6)="Arbeid","Uurtarief",AND(LEFT(F1550,8)="Bijdrage",RIGHT(F1550,15)="(vrijwilligers)"),"Vast tarief"),"")</f>
        <v/>
      </c>
      <c r="O1550" s="90"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0"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1"/>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59"/>
      <c r="Z1550" s="49"/>
      <c r="AA1550" s="37" t="str" cm="1">
        <f t="array" ref="AA1550">IFERROR(IF(INDEX(SubsidieTabel!$Q$1:$T$9,MATCH($F1550,SubsidieTabel!$Q$1:$Q$9,0),IFERROR(MATCH(Methode_Keuze,SubsidieTabel!$Q$1:$T$1,0),2))&lt;&gt;1=TRUE,"ja",""),"")</f>
        <v/>
      </c>
    </row>
    <row r="1551" spans="1:27" ht="15" customHeight="1" x14ac:dyDescent="0.25">
      <c r="A1551" s="85"/>
      <c r="B1551" s="217" t="str">
        <f>IF(A1551&lt;&gt;"",_xlfn.MAXIFS($B$1:B1550,$A$1:A1550,A1551)+1,"")</f>
        <v/>
      </c>
      <c r="C1551" s="50"/>
      <c r="D1551" s="50"/>
      <c r="E1551" s="50"/>
      <c r="F1551" s="50"/>
      <c r="G1551" s="280"/>
      <c r="H1551" s="293"/>
      <c r="I1551" s="292"/>
      <c r="J1551" s="292"/>
      <c r="K1551" s="200"/>
      <c r="L1551" s="200"/>
      <c r="M1551" s="89" t="str">
        <f>IFERROR(VLOOKUP(H1551,Lijsten!$H$1:$I$100,2,0),"")</f>
        <v/>
      </c>
      <c r="N1551" s="89" t="str" cm="1">
        <f t="array" ref="N1551">IFERROR(_xlfn.IFS(AND(LEFT(F1551,6)="Arbeid",RIGHT(F1551,3)&lt;&gt;"IKS"),IFERROR(VLOOKUP($G1551,Tb_KostenTypen[],2,0),"tarief"),RIGHT(F1551,3)="IKS","Uurtarief",LEFT(F1551,6)="Arbeid","Uurtarief",AND(LEFT(F1551,8)="Bijdrage",RIGHT(F1551,15)="(vrijwilligers)"),"Vast tarief"),"")</f>
        <v/>
      </c>
      <c r="O1551" s="90"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0"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1"/>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59"/>
      <c r="Z1551" s="49"/>
      <c r="AA1551" s="37" t="str" cm="1">
        <f t="array" ref="AA1551">IFERROR(IF(INDEX(SubsidieTabel!$Q$1:$T$9,MATCH($F1551,SubsidieTabel!$Q$1:$Q$9,0),IFERROR(MATCH(Methode_Keuze,SubsidieTabel!$Q$1:$T$1,0),2))&lt;&gt;1=TRUE,"ja",""),"")</f>
        <v/>
      </c>
    </row>
    <row r="1552" spans="1:27" ht="15" customHeight="1" x14ac:dyDescent="0.25">
      <c r="A1552" s="85"/>
      <c r="B1552" s="217" t="str">
        <f>IF(A1552&lt;&gt;"",_xlfn.MAXIFS($B$1:B1551,$A$1:A1551,A1552)+1,"")</f>
        <v/>
      </c>
      <c r="C1552" s="50"/>
      <c r="D1552" s="50"/>
      <c r="E1552" s="50"/>
      <c r="F1552" s="50"/>
      <c r="G1552" s="280"/>
      <c r="H1552" s="293"/>
      <c r="I1552" s="292"/>
      <c r="J1552" s="292"/>
      <c r="K1552" s="200"/>
      <c r="L1552" s="200"/>
      <c r="M1552" s="89" t="str">
        <f>IFERROR(VLOOKUP(H1552,Lijsten!$H$1:$I$100,2,0),"")</f>
        <v/>
      </c>
      <c r="N1552" s="89" t="str" cm="1">
        <f t="array" ref="N1552">IFERROR(_xlfn.IFS(AND(LEFT(F1552,6)="Arbeid",RIGHT(F1552,3)&lt;&gt;"IKS"),IFERROR(VLOOKUP($G1552,Tb_KostenTypen[],2,0),"tarief"),RIGHT(F1552,3)="IKS","Uurtarief",LEFT(F1552,6)="Arbeid","Uurtarief",AND(LEFT(F1552,8)="Bijdrage",RIGHT(F1552,15)="(vrijwilligers)"),"Vast tarief"),"")</f>
        <v/>
      </c>
      <c r="O1552" s="90"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0"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1"/>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59"/>
      <c r="Z1552" s="49"/>
      <c r="AA1552" s="37" t="str" cm="1">
        <f t="array" ref="AA1552">IFERROR(IF(INDEX(SubsidieTabel!$Q$1:$T$9,MATCH($F1552,SubsidieTabel!$Q$1:$Q$9,0),IFERROR(MATCH(Methode_Keuze,SubsidieTabel!$Q$1:$T$1,0),2))&lt;&gt;1=TRUE,"ja",""),"")</f>
        <v/>
      </c>
    </row>
    <row r="1553" spans="1:27" ht="15" customHeight="1" x14ac:dyDescent="0.25">
      <c r="A1553" s="85"/>
      <c r="B1553" s="217" t="str">
        <f>IF(A1553&lt;&gt;"",_xlfn.MAXIFS($B$1:B1552,$A$1:A1552,A1553)+1,"")</f>
        <v/>
      </c>
      <c r="C1553" s="50"/>
      <c r="D1553" s="50"/>
      <c r="E1553" s="50"/>
      <c r="F1553" s="50"/>
      <c r="G1553" s="280"/>
      <c r="H1553" s="293"/>
      <c r="I1553" s="292"/>
      <c r="J1553" s="292"/>
      <c r="K1553" s="200"/>
      <c r="L1553" s="200"/>
      <c r="M1553" s="89" t="str">
        <f>IFERROR(VLOOKUP(H1553,Lijsten!$H$1:$I$100,2,0),"")</f>
        <v/>
      </c>
      <c r="N1553" s="89" t="str" cm="1">
        <f t="array" ref="N1553">IFERROR(_xlfn.IFS(AND(LEFT(F1553,6)="Arbeid",RIGHT(F1553,3)&lt;&gt;"IKS"),IFERROR(VLOOKUP($G1553,Tb_KostenTypen[],2,0),"tarief"),RIGHT(F1553,3)="IKS","Uurtarief",LEFT(F1553,6)="Arbeid","Uurtarief",AND(LEFT(F1553,8)="Bijdrage",RIGHT(F1553,15)="(vrijwilligers)"),"Vast tarief"),"")</f>
        <v/>
      </c>
      <c r="O1553" s="90"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0"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1"/>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59"/>
      <c r="Z1553" s="49"/>
      <c r="AA1553" s="37" t="str" cm="1">
        <f t="array" ref="AA1553">IFERROR(IF(INDEX(SubsidieTabel!$Q$1:$T$9,MATCH($F1553,SubsidieTabel!$Q$1:$Q$9,0),IFERROR(MATCH(Methode_Keuze,SubsidieTabel!$Q$1:$T$1,0),2))&lt;&gt;1=TRUE,"ja",""),"")</f>
        <v/>
      </c>
    </row>
    <row r="1554" spans="1:27" ht="15" customHeight="1" x14ac:dyDescent="0.25">
      <c r="A1554" s="85"/>
      <c r="B1554" s="217" t="str">
        <f>IF(A1554&lt;&gt;"",_xlfn.MAXIFS($B$1:B1553,$A$1:A1553,A1554)+1,"")</f>
        <v/>
      </c>
      <c r="C1554" s="50"/>
      <c r="D1554" s="50"/>
      <c r="E1554" s="50"/>
      <c r="F1554" s="50"/>
      <c r="G1554" s="280"/>
      <c r="H1554" s="293"/>
      <c r="I1554" s="292"/>
      <c r="J1554" s="292"/>
      <c r="K1554" s="200"/>
      <c r="L1554" s="200"/>
      <c r="M1554" s="89" t="str">
        <f>IFERROR(VLOOKUP(H1554,Lijsten!$H$1:$I$100,2,0),"")</f>
        <v/>
      </c>
      <c r="N1554" s="89" t="str" cm="1">
        <f t="array" ref="N1554">IFERROR(_xlfn.IFS(AND(LEFT(F1554,6)="Arbeid",RIGHT(F1554,3)&lt;&gt;"IKS"),IFERROR(VLOOKUP($G1554,Tb_KostenTypen[],2,0),"tarief"),RIGHT(F1554,3)="IKS","Uurtarief",LEFT(F1554,6)="Arbeid","Uurtarief",AND(LEFT(F1554,8)="Bijdrage",RIGHT(F1554,15)="(vrijwilligers)"),"Vast tarief"),"")</f>
        <v/>
      </c>
      <c r="O1554" s="90"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0"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1"/>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59"/>
      <c r="Z1554" s="49"/>
      <c r="AA1554" s="37" t="str" cm="1">
        <f t="array" ref="AA1554">IFERROR(IF(INDEX(SubsidieTabel!$Q$1:$T$9,MATCH($F1554,SubsidieTabel!$Q$1:$Q$9,0),IFERROR(MATCH(Methode_Keuze,SubsidieTabel!$Q$1:$T$1,0),2))&lt;&gt;1=TRUE,"ja",""),"")</f>
        <v/>
      </c>
    </row>
    <row r="1555" spans="1:27" ht="15" customHeight="1" x14ac:dyDescent="0.25">
      <c r="A1555" s="85"/>
      <c r="B1555" s="217" t="str">
        <f>IF(A1555&lt;&gt;"",_xlfn.MAXIFS($B$1:B1554,$A$1:A1554,A1555)+1,"")</f>
        <v/>
      </c>
      <c r="C1555" s="50"/>
      <c r="D1555" s="50"/>
      <c r="E1555" s="50"/>
      <c r="F1555" s="50"/>
      <c r="G1555" s="280"/>
      <c r="H1555" s="293"/>
      <c r="I1555" s="292"/>
      <c r="J1555" s="292"/>
      <c r="K1555" s="200"/>
      <c r="L1555" s="200"/>
      <c r="M1555" s="89" t="str">
        <f>IFERROR(VLOOKUP(H1555,Lijsten!$H$1:$I$100,2,0),"")</f>
        <v/>
      </c>
      <c r="N1555" s="89" t="str" cm="1">
        <f t="array" ref="N1555">IFERROR(_xlfn.IFS(AND(LEFT(F1555,6)="Arbeid",RIGHT(F1555,3)&lt;&gt;"IKS"),IFERROR(VLOOKUP($G1555,Tb_KostenTypen[],2,0),"tarief"),RIGHT(F1555,3)="IKS","Uurtarief",LEFT(F1555,6)="Arbeid","Uurtarief",AND(LEFT(F1555,8)="Bijdrage",RIGHT(F1555,15)="(vrijwilligers)"),"Vast tarief"),"")</f>
        <v/>
      </c>
      <c r="O1555" s="90"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0"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1"/>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59"/>
      <c r="Z1555" s="49"/>
      <c r="AA1555" s="37" t="str" cm="1">
        <f t="array" ref="AA1555">IFERROR(IF(INDEX(SubsidieTabel!$Q$1:$T$9,MATCH($F1555,SubsidieTabel!$Q$1:$Q$9,0),IFERROR(MATCH(Methode_Keuze,SubsidieTabel!$Q$1:$T$1,0),2))&lt;&gt;1=TRUE,"ja",""),"")</f>
        <v/>
      </c>
    </row>
    <row r="1556" spans="1:27" ht="15" customHeight="1" x14ac:dyDescent="0.25">
      <c r="A1556" s="85"/>
      <c r="B1556" s="217" t="str">
        <f>IF(A1556&lt;&gt;"",_xlfn.MAXIFS($B$1:B1555,$A$1:A1555,A1556)+1,"")</f>
        <v/>
      </c>
      <c r="C1556" s="50"/>
      <c r="D1556" s="50"/>
      <c r="E1556" s="50"/>
      <c r="F1556" s="50"/>
      <c r="G1556" s="280"/>
      <c r="H1556" s="293"/>
      <c r="I1556" s="292"/>
      <c r="J1556" s="292"/>
      <c r="K1556" s="200"/>
      <c r="L1556" s="200"/>
      <c r="M1556" s="89" t="str">
        <f>IFERROR(VLOOKUP(H1556,Lijsten!$H$1:$I$100,2,0),"")</f>
        <v/>
      </c>
      <c r="N1556" s="89" t="str" cm="1">
        <f t="array" ref="N1556">IFERROR(_xlfn.IFS(AND(LEFT(F1556,6)="Arbeid",RIGHT(F1556,3)&lt;&gt;"IKS"),IFERROR(VLOOKUP($G1556,Tb_KostenTypen[],2,0),"tarief"),RIGHT(F1556,3)="IKS","Uurtarief",LEFT(F1556,6)="Arbeid","Uurtarief",AND(LEFT(F1556,8)="Bijdrage",RIGHT(F1556,15)="(vrijwilligers)"),"Vast tarief"),"")</f>
        <v/>
      </c>
      <c r="O1556" s="90"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0"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1"/>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59"/>
      <c r="Z1556" s="49"/>
      <c r="AA1556" s="37" t="str" cm="1">
        <f t="array" ref="AA1556">IFERROR(IF(INDEX(SubsidieTabel!$Q$1:$T$9,MATCH($F1556,SubsidieTabel!$Q$1:$Q$9,0),IFERROR(MATCH(Methode_Keuze,SubsidieTabel!$Q$1:$T$1,0),2))&lt;&gt;1=TRUE,"ja",""),"")</f>
        <v/>
      </c>
    </row>
    <row r="1557" spans="1:27" ht="15" customHeight="1" x14ac:dyDescent="0.25">
      <c r="A1557" s="85"/>
      <c r="B1557" s="217" t="str">
        <f>IF(A1557&lt;&gt;"",_xlfn.MAXIFS($B$1:B1556,$A$1:A1556,A1557)+1,"")</f>
        <v/>
      </c>
      <c r="C1557" s="50"/>
      <c r="D1557" s="50"/>
      <c r="E1557" s="50"/>
      <c r="F1557" s="50"/>
      <c r="G1557" s="280"/>
      <c r="H1557" s="293"/>
      <c r="I1557" s="292"/>
      <c r="J1557" s="292"/>
      <c r="K1557" s="200"/>
      <c r="L1557" s="200"/>
      <c r="M1557" s="89" t="str">
        <f>IFERROR(VLOOKUP(H1557,Lijsten!$H$1:$I$100,2,0),"")</f>
        <v/>
      </c>
      <c r="N1557" s="89" t="str" cm="1">
        <f t="array" ref="N1557">IFERROR(_xlfn.IFS(AND(LEFT(F1557,6)="Arbeid",RIGHT(F1557,3)&lt;&gt;"IKS"),IFERROR(VLOOKUP($G1557,Tb_KostenTypen[],2,0),"tarief"),RIGHT(F1557,3)="IKS","Uurtarief",LEFT(F1557,6)="Arbeid","Uurtarief",AND(LEFT(F1557,8)="Bijdrage",RIGHT(F1557,15)="(vrijwilligers)"),"Vast tarief"),"")</f>
        <v/>
      </c>
      <c r="O1557" s="90"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0"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1"/>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59"/>
      <c r="Z1557" s="49"/>
      <c r="AA1557" s="37" t="str" cm="1">
        <f t="array" ref="AA1557">IFERROR(IF(INDEX(SubsidieTabel!$Q$1:$T$9,MATCH($F1557,SubsidieTabel!$Q$1:$Q$9,0),IFERROR(MATCH(Methode_Keuze,SubsidieTabel!$Q$1:$T$1,0),2))&lt;&gt;1=TRUE,"ja",""),"")</f>
        <v/>
      </c>
    </row>
    <row r="1558" spans="1:27" ht="15" customHeight="1" x14ac:dyDescent="0.25">
      <c r="A1558" s="85"/>
      <c r="B1558" s="217" t="str">
        <f>IF(A1558&lt;&gt;"",_xlfn.MAXIFS($B$1:B1557,$A$1:A1557,A1558)+1,"")</f>
        <v/>
      </c>
      <c r="C1558" s="50"/>
      <c r="D1558" s="50"/>
      <c r="E1558" s="50"/>
      <c r="F1558" s="50"/>
      <c r="G1558" s="280"/>
      <c r="H1558" s="293"/>
      <c r="I1558" s="292"/>
      <c r="J1558" s="292"/>
      <c r="K1558" s="200"/>
      <c r="L1558" s="200"/>
      <c r="M1558" s="89" t="str">
        <f>IFERROR(VLOOKUP(H1558,Lijsten!$H$1:$I$100,2,0),"")</f>
        <v/>
      </c>
      <c r="N1558" s="89" t="str" cm="1">
        <f t="array" ref="N1558">IFERROR(_xlfn.IFS(AND(LEFT(F1558,6)="Arbeid",RIGHT(F1558,3)&lt;&gt;"IKS"),IFERROR(VLOOKUP($G1558,Tb_KostenTypen[],2,0),"tarief"),RIGHT(F1558,3)="IKS","Uurtarief",LEFT(F1558,6)="Arbeid","Uurtarief",AND(LEFT(F1558,8)="Bijdrage",RIGHT(F1558,15)="(vrijwilligers)"),"Vast tarief"),"")</f>
        <v/>
      </c>
      <c r="O1558" s="90"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0"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1"/>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59"/>
      <c r="Z1558" s="49"/>
      <c r="AA1558" s="37" t="str" cm="1">
        <f t="array" ref="AA1558">IFERROR(IF(INDEX(SubsidieTabel!$Q$1:$T$9,MATCH($F1558,SubsidieTabel!$Q$1:$Q$9,0),IFERROR(MATCH(Methode_Keuze,SubsidieTabel!$Q$1:$T$1,0),2))&lt;&gt;1=TRUE,"ja",""),"")</f>
        <v/>
      </c>
    </row>
    <row r="1559" spans="1:27" ht="15" customHeight="1" x14ac:dyDescent="0.25">
      <c r="A1559" s="85"/>
      <c r="B1559" s="217" t="str">
        <f>IF(A1559&lt;&gt;"",_xlfn.MAXIFS($B$1:B1558,$A$1:A1558,A1559)+1,"")</f>
        <v/>
      </c>
      <c r="C1559" s="50"/>
      <c r="D1559" s="50"/>
      <c r="E1559" s="50"/>
      <c r="F1559" s="50"/>
      <c r="G1559" s="280"/>
      <c r="H1559" s="293"/>
      <c r="I1559" s="292"/>
      <c r="J1559" s="292"/>
      <c r="K1559" s="200"/>
      <c r="L1559" s="200"/>
      <c r="M1559" s="89" t="str">
        <f>IFERROR(VLOOKUP(H1559,Lijsten!$H$1:$I$100,2,0),"")</f>
        <v/>
      </c>
      <c r="N1559" s="89" t="str" cm="1">
        <f t="array" ref="N1559">IFERROR(_xlfn.IFS(AND(LEFT(F1559,6)="Arbeid",RIGHT(F1559,3)&lt;&gt;"IKS"),IFERROR(VLOOKUP($G1559,Tb_KostenTypen[],2,0),"tarief"),RIGHT(F1559,3)="IKS","Uurtarief",LEFT(F1559,6)="Arbeid","Uurtarief",AND(LEFT(F1559,8)="Bijdrage",RIGHT(F1559,15)="(vrijwilligers)"),"Vast tarief"),"")</f>
        <v/>
      </c>
      <c r="O1559" s="90"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0"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1"/>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59"/>
      <c r="Z1559" s="49"/>
      <c r="AA1559" s="37" t="str" cm="1">
        <f t="array" ref="AA1559">IFERROR(IF(INDEX(SubsidieTabel!$Q$1:$T$9,MATCH($F1559,SubsidieTabel!$Q$1:$Q$9,0),IFERROR(MATCH(Methode_Keuze,SubsidieTabel!$Q$1:$T$1,0),2))&lt;&gt;1=TRUE,"ja",""),"")</f>
        <v/>
      </c>
    </row>
    <row r="1560" spans="1:27" ht="15" customHeight="1" x14ac:dyDescent="0.25">
      <c r="A1560" s="85"/>
      <c r="B1560" s="217" t="str">
        <f>IF(A1560&lt;&gt;"",_xlfn.MAXIFS($B$1:B1559,$A$1:A1559,A1560)+1,"")</f>
        <v/>
      </c>
      <c r="C1560" s="50"/>
      <c r="D1560" s="50"/>
      <c r="E1560" s="50"/>
      <c r="F1560" s="50"/>
      <c r="G1560" s="280"/>
      <c r="H1560" s="293"/>
      <c r="I1560" s="292"/>
      <c r="J1560" s="292"/>
      <c r="K1560" s="200"/>
      <c r="L1560" s="200"/>
      <c r="M1560" s="89" t="str">
        <f>IFERROR(VLOOKUP(H1560,Lijsten!$H$1:$I$100,2,0),"")</f>
        <v/>
      </c>
      <c r="N1560" s="89" t="str" cm="1">
        <f t="array" ref="N1560">IFERROR(_xlfn.IFS(AND(LEFT(F1560,6)="Arbeid",RIGHT(F1560,3)&lt;&gt;"IKS"),IFERROR(VLOOKUP($G1560,Tb_KostenTypen[],2,0),"tarief"),RIGHT(F1560,3)="IKS","Uurtarief",LEFT(F1560,6)="Arbeid","Uurtarief",AND(LEFT(F1560,8)="Bijdrage",RIGHT(F1560,15)="(vrijwilligers)"),"Vast tarief"),"")</f>
        <v/>
      </c>
      <c r="O1560" s="90"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0"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1"/>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59"/>
      <c r="Z1560" s="49"/>
      <c r="AA1560" s="37" t="str" cm="1">
        <f t="array" ref="AA1560">IFERROR(IF(INDEX(SubsidieTabel!$Q$1:$T$9,MATCH($F1560,SubsidieTabel!$Q$1:$Q$9,0),IFERROR(MATCH(Methode_Keuze,SubsidieTabel!$Q$1:$T$1,0),2))&lt;&gt;1=TRUE,"ja",""),"")</f>
        <v/>
      </c>
    </row>
    <row r="1561" spans="1:27" ht="15" customHeight="1" x14ac:dyDescent="0.25">
      <c r="A1561" s="85"/>
      <c r="B1561" s="217" t="str">
        <f>IF(A1561&lt;&gt;"",_xlfn.MAXIFS($B$1:B1560,$A$1:A1560,A1561)+1,"")</f>
        <v/>
      </c>
      <c r="C1561" s="50"/>
      <c r="D1561" s="50"/>
      <c r="E1561" s="50"/>
      <c r="F1561" s="50"/>
      <c r="G1561" s="280"/>
      <c r="H1561" s="293"/>
      <c r="I1561" s="292"/>
      <c r="J1561" s="292"/>
      <c r="K1561" s="200"/>
      <c r="L1561" s="200"/>
      <c r="M1561" s="89" t="str">
        <f>IFERROR(VLOOKUP(H1561,Lijsten!$H$1:$I$100,2,0),"")</f>
        <v/>
      </c>
      <c r="N1561" s="89" t="str" cm="1">
        <f t="array" ref="N1561">IFERROR(_xlfn.IFS(AND(LEFT(F1561,6)="Arbeid",RIGHT(F1561,3)&lt;&gt;"IKS"),IFERROR(VLOOKUP($G1561,Tb_KostenTypen[],2,0),"tarief"),RIGHT(F1561,3)="IKS","Uurtarief",LEFT(F1561,6)="Arbeid","Uurtarief",AND(LEFT(F1561,8)="Bijdrage",RIGHT(F1561,15)="(vrijwilligers)"),"Vast tarief"),"")</f>
        <v/>
      </c>
      <c r="O1561" s="90"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0"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1"/>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59"/>
      <c r="Z1561" s="49"/>
      <c r="AA1561" s="37" t="str" cm="1">
        <f t="array" ref="AA1561">IFERROR(IF(INDEX(SubsidieTabel!$Q$1:$T$9,MATCH($F1561,SubsidieTabel!$Q$1:$Q$9,0),IFERROR(MATCH(Methode_Keuze,SubsidieTabel!$Q$1:$T$1,0),2))&lt;&gt;1=TRUE,"ja",""),"")</f>
        <v/>
      </c>
    </row>
    <row r="1562" spans="1:27" ht="15" customHeight="1" x14ac:dyDescent="0.25">
      <c r="A1562" s="85"/>
      <c r="B1562" s="217" t="str">
        <f>IF(A1562&lt;&gt;"",_xlfn.MAXIFS($B$1:B1561,$A$1:A1561,A1562)+1,"")</f>
        <v/>
      </c>
      <c r="C1562" s="50"/>
      <c r="D1562" s="50"/>
      <c r="E1562" s="50"/>
      <c r="F1562" s="50"/>
      <c r="G1562" s="280"/>
      <c r="H1562" s="293"/>
      <c r="I1562" s="292"/>
      <c r="J1562" s="292"/>
      <c r="K1562" s="200"/>
      <c r="L1562" s="200"/>
      <c r="M1562" s="89" t="str">
        <f>IFERROR(VLOOKUP(H1562,Lijsten!$H$1:$I$100,2,0),"")</f>
        <v/>
      </c>
      <c r="N1562" s="89" t="str" cm="1">
        <f t="array" ref="N1562">IFERROR(_xlfn.IFS(AND(LEFT(F1562,6)="Arbeid",RIGHT(F1562,3)&lt;&gt;"IKS"),IFERROR(VLOOKUP($G1562,Tb_KostenTypen[],2,0),"tarief"),RIGHT(F1562,3)="IKS","Uurtarief",LEFT(F1562,6)="Arbeid","Uurtarief",AND(LEFT(F1562,8)="Bijdrage",RIGHT(F1562,15)="(vrijwilligers)"),"Vast tarief"),"")</f>
        <v/>
      </c>
      <c r="O1562" s="90"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0"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1"/>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59"/>
      <c r="Z1562" s="49"/>
      <c r="AA1562" s="37" t="str" cm="1">
        <f t="array" ref="AA1562">IFERROR(IF(INDEX(SubsidieTabel!$Q$1:$T$9,MATCH($F1562,SubsidieTabel!$Q$1:$Q$9,0),IFERROR(MATCH(Methode_Keuze,SubsidieTabel!$Q$1:$T$1,0),2))&lt;&gt;1=TRUE,"ja",""),"")</f>
        <v/>
      </c>
    </row>
    <row r="1563" spans="1:27" ht="15" customHeight="1" x14ac:dyDescent="0.25">
      <c r="A1563" s="85"/>
      <c r="B1563" s="217" t="str">
        <f>IF(A1563&lt;&gt;"",_xlfn.MAXIFS($B$1:B1562,$A$1:A1562,A1563)+1,"")</f>
        <v/>
      </c>
      <c r="C1563" s="50"/>
      <c r="D1563" s="50"/>
      <c r="E1563" s="50"/>
      <c r="F1563" s="50"/>
      <c r="G1563" s="280"/>
      <c r="H1563" s="293"/>
      <c r="I1563" s="292"/>
      <c r="J1563" s="292"/>
      <c r="K1563" s="200"/>
      <c r="L1563" s="200"/>
      <c r="M1563" s="89" t="str">
        <f>IFERROR(VLOOKUP(H1563,Lijsten!$H$1:$I$100,2,0),"")</f>
        <v/>
      </c>
      <c r="N1563" s="89" t="str" cm="1">
        <f t="array" ref="N1563">IFERROR(_xlfn.IFS(AND(LEFT(F1563,6)="Arbeid",RIGHT(F1563,3)&lt;&gt;"IKS"),IFERROR(VLOOKUP($G1563,Tb_KostenTypen[],2,0),"tarief"),RIGHT(F1563,3)="IKS","Uurtarief",LEFT(F1563,6)="Arbeid","Uurtarief",AND(LEFT(F1563,8)="Bijdrage",RIGHT(F1563,15)="(vrijwilligers)"),"Vast tarief"),"")</f>
        <v/>
      </c>
      <c r="O1563" s="90"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0"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1"/>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59"/>
      <c r="Z1563" s="49"/>
      <c r="AA1563" s="37" t="str" cm="1">
        <f t="array" ref="AA1563">IFERROR(IF(INDEX(SubsidieTabel!$Q$1:$T$9,MATCH($F1563,SubsidieTabel!$Q$1:$Q$9,0),IFERROR(MATCH(Methode_Keuze,SubsidieTabel!$Q$1:$T$1,0),2))&lt;&gt;1=TRUE,"ja",""),"")</f>
        <v/>
      </c>
    </row>
    <row r="1564" spans="1:27" ht="15" customHeight="1" x14ac:dyDescent="0.25">
      <c r="A1564" s="85"/>
      <c r="B1564" s="217" t="str">
        <f>IF(A1564&lt;&gt;"",_xlfn.MAXIFS($B$1:B1563,$A$1:A1563,A1564)+1,"")</f>
        <v/>
      </c>
      <c r="C1564" s="50"/>
      <c r="D1564" s="50"/>
      <c r="E1564" s="50"/>
      <c r="F1564" s="50"/>
      <c r="G1564" s="280"/>
      <c r="H1564" s="293"/>
      <c r="I1564" s="292"/>
      <c r="J1564" s="292"/>
      <c r="K1564" s="200"/>
      <c r="L1564" s="200"/>
      <c r="M1564" s="89" t="str">
        <f>IFERROR(VLOOKUP(H1564,Lijsten!$H$1:$I$100,2,0),"")</f>
        <v/>
      </c>
      <c r="N1564" s="89" t="str" cm="1">
        <f t="array" ref="N1564">IFERROR(_xlfn.IFS(AND(LEFT(F1564,6)="Arbeid",RIGHT(F1564,3)&lt;&gt;"IKS"),IFERROR(VLOOKUP($G1564,Tb_KostenTypen[],2,0),"tarief"),RIGHT(F1564,3)="IKS","Uurtarief",LEFT(F1564,6)="Arbeid","Uurtarief",AND(LEFT(F1564,8)="Bijdrage",RIGHT(F1564,15)="(vrijwilligers)"),"Vast tarief"),"")</f>
        <v/>
      </c>
      <c r="O1564" s="90"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0"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1"/>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59"/>
      <c r="Z1564" s="49"/>
      <c r="AA1564" s="37" t="str" cm="1">
        <f t="array" ref="AA1564">IFERROR(IF(INDEX(SubsidieTabel!$Q$1:$T$9,MATCH($F1564,SubsidieTabel!$Q$1:$Q$9,0),IFERROR(MATCH(Methode_Keuze,SubsidieTabel!$Q$1:$T$1,0),2))&lt;&gt;1=TRUE,"ja",""),"")</f>
        <v/>
      </c>
    </row>
    <row r="1565" spans="1:27" ht="15" customHeight="1" x14ac:dyDescent="0.25">
      <c r="A1565" s="85"/>
      <c r="B1565" s="217" t="str">
        <f>IF(A1565&lt;&gt;"",_xlfn.MAXIFS($B$1:B1564,$A$1:A1564,A1565)+1,"")</f>
        <v/>
      </c>
      <c r="C1565" s="50"/>
      <c r="D1565" s="50"/>
      <c r="E1565" s="50"/>
      <c r="F1565" s="50"/>
      <c r="G1565" s="280"/>
      <c r="H1565" s="293"/>
      <c r="I1565" s="292"/>
      <c r="J1565" s="292"/>
      <c r="K1565" s="200"/>
      <c r="L1565" s="200"/>
      <c r="M1565" s="89" t="str">
        <f>IFERROR(VLOOKUP(H1565,Lijsten!$H$1:$I$100,2,0),"")</f>
        <v/>
      </c>
      <c r="N1565" s="89" t="str" cm="1">
        <f t="array" ref="N1565">IFERROR(_xlfn.IFS(AND(LEFT(F1565,6)="Arbeid",RIGHT(F1565,3)&lt;&gt;"IKS"),IFERROR(VLOOKUP($G1565,Tb_KostenTypen[],2,0),"tarief"),RIGHT(F1565,3)="IKS","Uurtarief",LEFT(F1565,6)="Arbeid","Uurtarief",AND(LEFT(F1565,8)="Bijdrage",RIGHT(F1565,15)="(vrijwilligers)"),"Vast tarief"),"")</f>
        <v/>
      </c>
      <c r="O1565" s="90"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0"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1"/>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59"/>
      <c r="Z1565" s="49"/>
      <c r="AA1565" s="37" t="str" cm="1">
        <f t="array" ref="AA1565">IFERROR(IF(INDEX(SubsidieTabel!$Q$1:$T$9,MATCH($F1565,SubsidieTabel!$Q$1:$Q$9,0),IFERROR(MATCH(Methode_Keuze,SubsidieTabel!$Q$1:$T$1,0),2))&lt;&gt;1=TRUE,"ja",""),"")</f>
        <v/>
      </c>
    </row>
    <row r="1566" spans="1:27" ht="15" customHeight="1" x14ac:dyDescent="0.25">
      <c r="A1566" s="85"/>
      <c r="B1566" s="217" t="str">
        <f>IF(A1566&lt;&gt;"",_xlfn.MAXIFS($B$1:B1565,$A$1:A1565,A1566)+1,"")</f>
        <v/>
      </c>
      <c r="C1566" s="50"/>
      <c r="D1566" s="50"/>
      <c r="E1566" s="50"/>
      <c r="F1566" s="50"/>
      <c r="G1566" s="280"/>
      <c r="H1566" s="293"/>
      <c r="I1566" s="292"/>
      <c r="J1566" s="292"/>
      <c r="K1566" s="200"/>
      <c r="L1566" s="200"/>
      <c r="M1566" s="89" t="str">
        <f>IFERROR(VLOOKUP(H1566,Lijsten!$H$1:$I$100,2,0),"")</f>
        <v/>
      </c>
      <c r="N1566" s="89" t="str" cm="1">
        <f t="array" ref="N1566">IFERROR(_xlfn.IFS(AND(LEFT(F1566,6)="Arbeid",RIGHT(F1566,3)&lt;&gt;"IKS"),IFERROR(VLOOKUP($G1566,Tb_KostenTypen[],2,0),"tarief"),RIGHT(F1566,3)="IKS","Uurtarief",LEFT(F1566,6)="Arbeid","Uurtarief",AND(LEFT(F1566,8)="Bijdrage",RIGHT(F1566,15)="(vrijwilligers)"),"Vast tarief"),"")</f>
        <v/>
      </c>
      <c r="O1566" s="90"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0"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1"/>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59"/>
      <c r="Z1566" s="49"/>
      <c r="AA1566" s="37" t="str" cm="1">
        <f t="array" ref="AA1566">IFERROR(IF(INDEX(SubsidieTabel!$Q$1:$T$9,MATCH($F1566,SubsidieTabel!$Q$1:$Q$9,0),IFERROR(MATCH(Methode_Keuze,SubsidieTabel!$Q$1:$T$1,0),2))&lt;&gt;1=TRUE,"ja",""),"")</f>
        <v/>
      </c>
    </row>
    <row r="1567" spans="1:27" ht="15" customHeight="1" x14ac:dyDescent="0.25">
      <c r="A1567" s="85"/>
      <c r="B1567" s="217" t="str">
        <f>IF(A1567&lt;&gt;"",_xlfn.MAXIFS($B$1:B1566,$A$1:A1566,A1567)+1,"")</f>
        <v/>
      </c>
      <c r="C1567" s="50"/>
      <c r="D1567" s="50"/>
      <c r="E1567" s="50"/>
      <c r="F1567" s="50"/>
      <c r="G1567" s="280"/>
      <c r="H1567" s="293"/>
      <c r="I1567" s="292"/>
      <c r="J1567" s="292"/>
      <c r="K1567" s="200"/>
      <c r="L1567" s="200"/>
      <c r="M1567" s="89" t="str">
        <f>IFERROR(VLOOKUP(H1567,Lijsten!$H$1:$I$100,2,0),"")</f>
        <v/>
      </c>
      <c r="N1567" s="89" t="str" cm="1">
        <f t="array" ref="N1567">IFERROR(_xlfn.IFS(AND(LEFT(F1567,6)="Arbeid",RIGHT(F1567,3)&lt;&gt;"IKS"),IFERROR(VLOOKUP($G1567,Tb_KostenTypen[],2,0),"tarief"),RIGHT(F1567,3)="IKS","Uurtarief",LEFT(F1567,6)="Arbeid","Uurtarief",AND(LEFT(F1567,8)="Bijdrage",RIGHT(F1567,15)="(vrijwilligers)"),"Vast tarief"),"")</f>
        <v/>
      </c>
      <c r="O1567" s="90"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0"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1"/>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59"/>
      <c r="Z1567" s="49"/>
      <c r="AA1567" s="37" t="str" cm="1">
        <f t="array" ref="AA1567">IFERROR(IF(INDEX(SubsidieTabel!$Q$1:$T$9,MATCH($F1567,SubsidieTabel!$Q$1:$Q$9,0),IFERROR(MATCH(Methode_Keuze,SubsidieTabel!$Q$1:$T$1,0),2))&lt;&gt;1=TRUE,"ja",""),"")</f>
        <v/>
      </c>
    </row>
    <row r="1568" spans="1:27" ht="15" customHeight="1" x14ac:dyDescent="0.25">
      <c r="A1568" s="85"/>
      <c r="B1568" s="217" t="str">
        <f>IF(A1568&lt;&gt;"",_xlfn.MAXIFS($B$1:B1567,$A$1:A1567,A1568)+1,"")</f>
        <v/>
      </c>
      <c r="C1568" s="50"/>
      <c r="D1568" s="50"/>
      <c r="E1568" s="50"/>
      <c r="F1568" s="50"/>
      <c r="G1568" s="280"/>
      <c r="H1568" s="293"/>
      <c r="I1568" s="292"/>
      <c r="J1568" s="292"/>
      <c r="K1568" s="200"/>
      <c r="L1568" s="200"/>
      <c r="M1568" s="89" t="str">
        <f>IFERROR(VLOOKUP(H1568,Lijsten!$H$1:$I$100,2,0),"")</f>
        <v/>
      </c>
      <c r="N1568" s="89" t="str" cm="1">
        <f t="array" ref="N1568">IFERROR(_xlfn.IFS(AND(LEFT(F1568,6)="Arbeid",RIGHT(F1568,3)&lt;&gt;"IKS"),IFERROR(VLOOKUP($G1568,Tb_KostenTypen[],2,0),"tarief"),RIGHT(F1568,3)="IKS","Uurtarief",LEFT(F1568,6)="Arbeid","Uurtarief",AND(LEFT(F1568,8)="Bijdrage",RIGHT(F1568,15)="(vrijwilligers)"),"Vast tarief"),"")</f>
        <v/>
      </c>
      <c r="O1568" s="90"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0"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1"/>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59"/>
      <c r="Z1568" s="49"/>
      <c r="AA1568" s="37" t="str" cm="1">
        <f t="array" ref="AA1568">IFERROR(IF(INDEX(SubsidieTabel!$Q$1:$T$9,MATCH($F1568,SubsidieTabel!$Q$1:$Q$9,0),IFERROR(MATCH(Methode_Keuze,SubsidieTabel!$Q$1:$T$1,0),2))&lt;&gt;1=TRUE,"ja",""),"")</f>
        <v/>
      </c>
    </row>
    <row r="1569" spans="1:27" ht="15" customHeight="1" x14ac:dyDescent="0.25">
      <c r="A1569" s="85"/>
      <c r="B1569" s="217" t="str">
        <f>IF(A1569&lt;&gt;"",_xlfn.MAXIFS($B$1:B1568,$A$1:A1568,A1569)+1,"")</f>
        <v/>
      </c>
      <c r="C1569" s="50"/>
      <c r="D1569" s="50"/>
      <c r="E1569" s="50"/>
      <c r="F1569" s="50"/>
      <c r="G1569" s="280"/>
      <c r="H1569" s="293"/>
      <c r="I1569" s="292"/>
      <c r="J1569" s="292"/>
      <c r="K1569" s="200"/>
      <c r="L1569" s="200"/>
      <c r="M1569" s="89" t="str">
        <f>IFERROR(VLOOKUP(H1569,Lijsten!$H$1:$I$100,2,0),"")</f>
        <v/>
      </c>
      <c r="N1569" s="89" t="str" cm="1">
        <f t="array" ref="N1569">IFERROR(_xlfn.IFS(AND(LEFT(F1569,6)="Arbeid",RIGHT(F1569,3)&lt;&gt;"IKS"),IFERROR(VLOOKUP($G1569,Tb_KostenTypen[],2,0),"tarief"),RIGHT(F1569,3)="IKS","Uurtarief",LEFT(F1569,6)="Arbeid","Uurtarief",AND(LEFT(F1569,8)="Bijdrage",RIGHT(F1569,15)="(vrijwilligers)"),"Vast tarief"),"")</f>
        <v/>
      </c>
      <c r="O1569" s="90"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0"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1"/>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59"/>
      <c r="Z1569" s="49"/>
      <c r="AA1569" s="37" t="str" cm="1">
        <f t="array" ref="AA1569">IFERROR(IF(INDEX(SubsidieTabel!$Q$1:$T$9,MATCH($F1569,SubsidieTabel!$Q$1:$Q$9,0),IFERROR(MATCH(Methode_Keuze,SubsidieTabel!$Q$1:$T$1,0),2))&lt;&gt;1=TRUE,"ja",""),"")</f>
        <v/>
      </c>
    </row>
    <row r="1570" spans="1:27" ht="15" customHeight="1" x14ac:dyDescent="0.25">
      <c r="A1570" s="85"/>
      <c r="B1570" s="217" t="str">
        <f>IF(A1570&lt;&gt;"",_xlfn.MAXIFS($B$1:B1569,$A$1:A1569,A1570)+1,"")</f>
        <v/>
      </c>
      <c r="C1570" s="50"/>
      <c r="D1570" s="50"/>
      <c r="E1570" s="50"/>
      <c r="F1570" s="50"/>
      <c r="G1570" s="280"/>
      <c r="H1570" s="293"/>
      <c r="I1570" s="292"/>
      <c r="J1570" s="292"/>
      <c r="K1570" s="200"/>
      <c r="L1570" s="200"/>
      <c r="M1570" s="89" t="str">
        <f>IFERROR(VLOOKUP(H1570,Lijsten!$H$1:$I$100,2,0),"")</f>
        <v/>
      </c>
      <c r="N1570" s="89" t="str" cm="1">
        <f t="array" ref="N1570">IFERROR(_xlfn.IFS(AND(LEFT(F1570,6)="Arbeid",RIGHT(F1570,3)&lt;&gt;"IKS"),IFERROR(VLOOKUP($G1570,Tb_KostenTypen[],2,0),"tarief"),RIGHT(F1570,3)="IKS","Uurtarief",LEFT(F1570,6)="Arbeid","Uurtarief",AND(LEFT(F1570,8)="Bijdrage",RIGHT(F1570,15)="(vrijwilligers)"),"Vast tarief"),"")</f>
        <v/>
      </c>
      <c r="O1570" s="90"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0"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1"/>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59"/>
      <c r="Z1570" s="49"/>
      <c r="AA1570" s="37" t="str" cm="1">
        <f t="array" ref="AA1570">IFERROR(IF(INDEX(SubsidieTabel!$Q$1:$T$9,MATCH($F1570,SubsidieTabel!$Q$1:$Q$9,0),IFERROR(MATCH(Methode_Keuze,SubsidieTabel!$Q$1:$T$1,0),2))&lt;&gt;1=TRUE,"ja",""),"")</f>
        <v/>
      </c>
    </row>
    <row r="1571" spans="1:27" ht="15" customHeight="1" x14ac:dyDescent="0.25">
      <c r="A1571" s="85"/>
      <c r="B1571" s="217" t="str">
        <f>IF(A1571&lt;&gt;"",_xlfn.MAXIFS($B$1:B1570,$A$1:A1570,A1571)+1,"")</f>
        <v/>
      </c>
      <c r="C1571" s="50"/>
      <c r="D1571" s="50"/>
      <c r="E1571" s="50"/>
      <c r="F1571" s="50"/>
      <c r="G1571" s="280"/>
      <c r="H1571" s="293"/>
      <c r="I1571" s="292"/>
      <c r="J1571" s="292"/>
      <c r="K1571" s="200"/>
      <c r="L1571" s="200"/>
      <c r="M1571" s="89" t="str">
        <f>IFERROR(VLOOKUP(H1571,Lijsten!$H$1:$I$100,2,0),"")</f>
        <v/>
      </c>
      <c r="N1571" s="89" t="str" cm="1">
        <f t="array" ref="N1571">IFERROR(_xlfn.IFS(AND(LEFT(F1571,6)="Arbeid",RIGHT(F1571,3)&lt;&gt;"IKS"),IFERROR(VLOOKUP($G1571,Tb_KostenTypen[],2,0),"tarief"),RIGHT(F1571,3)="IKS","Uurtarief",LEFT(F1571,6)="Arbeid","Uurtarief",AND(LEFT(F1571,8)="Bijdrage",RIGHT(F1571,15)="(vrijwilligers)"),"Vast tarief"),"")</f>
        <v/>
      </c>
      <c r="O1571" s="90"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0"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1"/>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59"/>
      <c r="Z1571" s="49"/>
      <c r="AA1571" s="37" t="str" cm="1">
        <f t="array" ref="AA1571">IFERROR(IF(INDEX(SubsidieTabel!$Q$1:$T$9,MATCH($F1571,SubsidieTabel!$Q$1:$Q$9,0),IFERROR(MATCH(Methode_Keuze,SubsidieTabel!$Q$1:$T$1,0),2))&lt;&gt;1=TRUE,"ja",""),"")</f>
        <v/>
      </c>
    </row>
    <row r="1572" spans="1:27" ht="15" customHeight="1" x14ac:dyDescent="0.25">
      <c r="A1572" s="85"/>
      <c r="B1572" s="217" t="str">
        <f>IF(A1572&lt;&gt;"",_xlfn.MAXIFS($B$1:B1571,$A$1:A1571,A1572)+1,"")</f>
        <v/>
      </c>
      <c r="C1572" s="50"/>
      <c r="D1572" s="50"/>
      <c r="E1572" s="50"/>
      <c r="F1572" s="50"/>
      <c r="G1572" s="280"/>
      <c r="H1572" s="293"/>
      <c r="I1572" s="292"/>
      <c r="J1572" s="292"/>
      <c r="K1572" s="200"/>
      <c r="L1572" s="200"/>
      <c r="M1572" s="89" t="str">
        <f>IFERROR(VLOOKUP(H1572,Lijsten!$H$1:$I$100,2,0),"")</f>
        <v/>
      </c>
      <c r="N1572" s="89" t="str" cm="1">
        <f t="array" ref="N1572">IFERROR(_xlfn.IFS(AND(LEFT(F1572,6)="Arbeid",RIGHT(F1572,3)&lt;&gt;"IKS"),IFERROR(VLOOKUP($G1572,Tb_KostenTypen[],2,0),"tarief"),RIGHT(F1572,3)="IKS","Uurtarief",LEFT(F1572,6)="Arbeid","Uurtarief",AND(LEFT(F1572,8)="Bijdrage",RIGHT(F1572,15)="(vrijwilligers)"),"Vast tarief"),"")</f>
        <v/>
      </c>
      <c r="O1572" s="90"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0"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1"/>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59"/>
      <c r="Z1572" s="49"/>
      <c r="AA1572" s="37" t="str" cm="1">
        <f t="array" ref="AA1572">IFERROR(IF(INDEX(SubsidieTabel!$Q$1:$T$9,MATCH($F1572,SubsidieTabel!$Q$1:$Q$9,0),IFERROR(MATCH(Methode_Keuze,SubsidieTabel!$Q$1:$T$1,0),2))&lt;&gt;1=TRUE,"ja",""),"")</f>
        <v/>
      </c>
    </row>
    <row r="1573" spans="1:27" ht="15" customHeight="1" x14ac:dyDescent="0.25">
      <c r="A1573" s="85"/>
      <c r="B1573" s="217" t="str">
        <f>IF(A1573&lt;&gt;"",_xlfn.MAXIFS($B$1:B1572,$A$1:A1572,A1573)+1,"")</f>
        <v/>
      </c>
      <c r="C1573" s="50"/>
      <c r="D1573" s="50"/>
      <c r="E1573" s="50"/>
      <c r="F1573" s="50"/>
      <c r="G1573" s="280"/>
      <c r="H1573" s="293"/>
      <c r="I1573" s="292"/>
      <c r="J1573" s="292"/>
      <c r="K1573" s="200"/>
      <c r="L1573" s="200"/>
      <c r="M1573" s="89" t="str">
        <f>IFERROR(VLOOKUP(H1573,Lijsten!$H$1:$I$100,2,0),"")</f>
        <v/>
      </c>
      <c r="N1573" s="89" t="str" cm="1">
        <f t="array" ref="N1573">IFERROR(_xlfn.IFS(AND(LEFT(F1573,6)="Arbeid",RIGHT(F1573,3)&lt;&gt;"IKS"),IFERROR(VLOOKUP($G1573,Tb_KostenTypen[],2,0),"tarief"),RIGHT(F1573,3)="IKS","Uurtarief",LEFT(F1573,6)="Arbeid","Uurtarief",AND(LEFT(F1573,8)="Bijdrage",RIGHT(F1573,15)="(vrijwilligers)"),"Vast tarief"),"")</f>
        <v/>
      </c>
      <c r="O1573" s="90"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0"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1"/>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59"/>
      <c r="Z1573" s="49"/>
      <c r="AA1573" s="37" t="str" cm="1">
        <f t="array" ref="AA1573">IFERROR(IF(INDEX(SubsidieTabel!$Q$1:$T$9,MATCH($F1573,SubsidieTabel!$Q$1:$Q$9,0),IFERROR(MATCH(Methode_Keuze,SubsidieTabel!$Q$1:$T$1,0),2))&lt;&gt;1=TRUE,"ja",""),"")</f>
        <v/>
      </c>
    </row>
    <row r="1574" spans="1:27" ht="15" customHeight="1" x14ac:dyDescent="0.25">
      <c r="A1574" s="85"/>
      <c r="B1574" s="217" t="str">
        <f>IF(A1574&lt;&gt;"",_xlfn.MAXIFS($B$1:B1573,$A$1:A1573,A1574)+1,"")</f>
        <v/>
      </c>
      <c r="C1574" s="50"/>
      <c r="D1574" s="50"/>
      <c r="E1574" s="50"/>
      <c r="F1574" s="50"/>
      <c r="G1574" s="280"/>
      <c r="H1574" s="293"/>
      <c r="I1574" s="292"/>
      <c r="J1574" s="292"/>
      <c r="K1574" s="200"/>
      <c r="L1574" s="200"/>
      <c r="M1574" s="89" t="str">
        <f>IFERROR(VLOOKUP(H1574,Lijsten!$H$1:$I$100,2,0),"")</f>
        <v/>
      </c>
      <c r="N1574" s="89" t="str" cm="1">
        <f t="array" ref="N1574">IFERROR(_xlfn.IFS(AND(LEFT(F1574,6)="Arbeid",RIGHT(F1574,3)&lt;&gt;"IKS"),IFERROR(VLOOKUP($G1574,Tb_KostenTypen[],2,0),"tarief"),RIGHT(F1574,3)="IKS","Uurtarief",LEFT(F1574,6)="Arbeid","Uurtarief",AND(LEFT(F1574,8)="Bijdrage",RIGHT(F1574,15)="(vrijwilligers)"),"Vast tarief"),"")</f>
        <v/>
      </c>
      <c r="O1574" s="90"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0"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1"/>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59"/>
      <c r="Z1574" s="49"/>
      <c r="AA1574" s="37" t="str" cm="1">
        <f t="array" ref="AA1574">IFERROR(IF(INDEX(SubsidieTabel!$Q$1:$T$9,MATCH($F1574,SubsidieTabel!$Q$1:$Q$9,0),IFERROR(MATCH(Methode_Keuze,SubsidieTabel!$Q$1:$T$1,0),2))&lt;&gt;1=TRUE,"ja",""),"")</f>
        <v/>
      </c>
    </row>
    <row r="1575" spans="1:27" ht="15" customHeight="1" x14ac:dyDescent="0.25">
      <c r="A1575" s="85"/>
      <c r="B1575" s="217" t="str">
        <f>IF(A1575&lt;&gt;"",_xlfn.MAXIFS($B$1:B1574,$A$1:A1574,A1575)+1,"")</f>
        <v/>
      </c>
      <c r="C1575" s="50"/>
      <c r="D1575" s="50"/>
      <c r="E1575" s="50"/>
      <c r="F1575" s="50"/>
      <c r="G1575" s="280"/>
      <c r="H1575" s="293"/>
      <c r="I1575" s="292"/>
      <c r="J1575" s="292"/>
      <c r="K1575" s="200"/>
      <c r="L1575" s="200"/>
      <c r="M1575" s="89" t="str">
        <f>IFERROR(VLOOKUP(H1575,Lijsten!$H$1:$I$100,2,0),"")</f>
        <v/>
      </c>
      <c r="N1575" s="89" t="str" cm="1">
        <f t="array" ref="N1575">IFERROR(_xlfn.IFS(AND(LEFT(F1575,6)="Arbeid",RIGHT(F1575,3)&lt;&gt;"IKS"),IFERROR(VLOOKUP($G1575,Tb_KostenTypen[],2,0),"tarief"),RIGHT(F1575,3)="IKS","Uurtarief",LEFT(F1575,6)="Arbeid","Uurtarief",AND(LEFT(F1575,8)="Bijdrage",RIGHT(F1575,15)="(vrijwilligers)"),"Vast tarief"),"")</f>
        <v/>
      </c>
      <c r="O1575" s="90"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0"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1"/>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59"/>
      <c r="Z1575" s="49"/>
      <c r="AA1575" s="37" t="str" cm="1">
        <f t="array" ref="AA1575">IFERROR(IF(INDEX(SubsidieTabel!$Q$1:$T$9,MATCH($F1575,SubsidieTabel!$Q$1:$Q$9,0),IFERROR(MATCH(Methode_Keuze,SubsidieTabel!$Q$1:$T$1,0),2))&lt;&gt;1=TRUE,"ja",""),"")</f>
        <v/>
      </c>
    </row>
    <row r="1576" spans="1:27" ht="15" customHeight="1" x14ac:dyDescent="0.25">
      <c r="A1576" s="85"/>
      <c r="B1576" s="217" t="str">
        <f>IF(A1576&lt;&gt;"",_xlfn.MAXIFS($B$1:B1575,$A$1:A1575,A1576)+1,"")</f>
        <v/>
      </c>
      <c r="C1576" s="50"/>
      <c r="D1576" s="50"/>
      <c r="E1576" s="50"/>
      <c r="F1576" s="50"/>
      <c r="G1576" s="280"/>
      <c r="H1576" s="293"/>
      <c r="I1576" s="292"/>
      <c r="J1576" s="292"/>
      <c r="K1576" s="200"/>
      <c r="L1576" s="200"/>
      <c r="M1576" s="89" t="str">
        <f>IFERROR(VLOOKUP(H1576,Lijsten!$H$1:$I$100,2,0),"")</f>
        <v/>
      </c>
      <c r="N1576" s="89" t="str" cm="1">
        <f t="array" ref="N1576">IFERROR(_xlfn.IFS(AND(LEFT(F1576,6)="Arbeid",RIGHT(F1576,3)&lt;&gt;"IKS"),IFERROR(VLOOKUP($G1576,Tb_KostenTypen[],2,0),"tarief"),RIGHT(F1576,3)="IKS","Uurtarief",LEFT(F1576,6)="Arbeid","Uurtarief",AND(LEFT(F1576,8)="Bijdrage",RIGHT(F1576,15)="(vrijwilligers)"),"Vast tarief"),"")</f>
        <v/>
      </c>
      <c r="O1576" s="90"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0"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1"/>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59"/>
      <c r="Z1576" s="49"/>
      <c r="AA1576" s="37" t="str" cm="1">
        <f t="array" ref="AA1576">IFERROR(IF(INDEX(SubsidieTabel!$Q$1:$T$9,MATCH($F1576,SubsidieTabel!$Q$1:$Q$9,0),IFERROR(MATCH(Methode_Keuze,SubsidieTabel!$Q$1:$T$1,0),2))&lt;&gt;1=TRUE,"ja",""),"")</f>
        <v/>
      </c>
    </row>
    <row r="1577" spans="1:27" ht="15" customHeight="1" x14ac:dyDescent="0.25">
      <c r="A1577" s="85"/>
      <c r="B1577" s="217" t="str">
        <f>IF(A1577&lt;&gt;"",_xlfn.MAXIFS($B$1:B1576,$A$1:A1576,A1577)+1,"")</f>
        <v/>
      </c>
      <c r="C1577" s="50"/>
      <c r="D1577" s="50"/>
      <c r="E1577" s="50"/>
      <c r="F1577" s="50"/>
      <c r="G1577" s="280"/>
      <c r="H1577" s="293"/>
      <c r="I1577" s="292"/>
      <c r="J1577" s="292"/>
      <c r="K1577" s="200"/>
      <c r="L1577" s="200"/>
      <c r="M1577" s="89" t="str">
        <f>IFERROR(VLOOKUP(H1577,Lijsten!$H$1:$I$100,2,0),"")</f>
        <v/>
      </c>
      <c r="N1577" s="89" t="str" cm="1">
        <f t="array" ref="N1577">IFERROR(_xlfn.IFS(AND(LEFT(F1577,6)="Arbeid",RIGHT(F1577,3)&lt;&gt;"IKS"),IFERROR(VLOOKUP($G1577,Tb_KostenTypen[],2,0),"tarief"),RIGHT(F1577,3)="IKS","Uurtarief",LEFT(F1577,6)="Arbeid","Uurtarief",AND(LEFT(F1577,8)="Bijdrage",RIGHT(F1577,15)="(vrijwilligers)"),"Vast tarief"),"")</f>
        <v/>
      </c>
      <c r="O1577" s="90"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0"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1"/>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59"/>
      <c r="Z1577" s="49"/>
      <c r="AA1577" s="37" t="str" cm="1">
        <f t="array" ref="AA1577">IFERROR(IF(INDEX(SubsidieTabel!$Q$1:$T$9,MATCH($F1577,SubsidieTabel!$Q$1:$Q$9,0),IFERROR(MATCH(Methode_Keuze,SubsidieTabel!$Q$1:$T$1,0),2))&lt;&gt;1=TRUE,"ja",""),"")</f>
        <v/>
      </c>
    </row>
    <row r="1578" spans="1:27" ht="15" customHeight="1" x14ac:dyDescent="0.25">
      <c r="A1578" s="85"/>
      <c r="B1578" s="217" t="str">
        <f>IF(A1578&lt;&gt;"",_xlfn.MAXIFS($B$1:B1577,$A$1:A1577,A1578)+1,"")</f>
        <v/>
      </c>
      <c r="C1578" s="50"/>
      <c r="D1578" s="50"/>
      <c r="E1578" s="50"/>
      <c r="F1578" s="50"/>
      <c r="G1578" s="280"/>
      <c r="H1578" s="293"/>
      <c r="I1578" s="292"/>
      <c r="J1578" s="292"/>
      <c r="K1578" s="200"/>
      <c r="L1578" s="200"/>
      <c r="M1578" s="89" t="str">
        <f>IFERROR(VLOOKUP(H1578,Lijsten!$H$1:$I$100,2,0),"")</f>
        <v/>
      </c>
      <c r="N1578" s="89" t="str" cm="1">
        <f t="array" ref="N1578">IFERROR(_xlfn.IFS(AND(LEFT(F1578,6)="Arbeid",RIGHT(F1578,3)&lt;&gt;"IKS"),IFERROR(VLOOKUP($G1578,Tb_KostenTypen[],2,0),"tarief"),RIGHT(F1578,3)="IKS","Uurtarief",LEFT(F1578,6)="Arbeid","Uurtarief",AND(LEFT(F1578,8)="Bijdrage",RIGHT(F1578,15)="(vrijwilligers)"),"Vast tarief"),"")</f>
        <v/>
      </c>
      <c r="O1578" s="90"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0"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1"/>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59"/>
      <c r="Z1578" s="49"/>
      <c r="AA1578" s="37" t="str" cm="1">
        <f t="array" ref="AA1578">IFERROR(IF(INDEX(SubsidieTabel!$Q$1:$T$9,MATCH($F1578,SubsidieTabel!$Q$1:$Q$9,0),IFERROR(MATCH(Methode_Keuze,SubsidieTabel!$Q$1:$T$1,0),2))&lt;&gt;1=TRUE,"ja",""),"")</f>
        <v/>
      </c>
    </row>
    <row r="1579" spans="1:27" ht="15" customHeight="1" x14ac:dyDescent="0.25">
      <c r="A1579" s="85"/>
      <c r="B1579" s="217" t="str">
        <f>IF(A1579&lt;&gt;"",_xlfn.MAXIFS($B$1:B1578,$A$1:A1578,A1579)+1,"")</f>
        <v/>
      </c>
      <c r="C1579" s="50"/>
      <c r="D1579" s="50"/>
      <c r="E1579" s="50"/>
      <c r="F1579" s="50"/>
      <c r="G1579" s="280"/>
      <c r="H1579" s="293"/>
      <c r="I1579" s="292"/>
      <c r="J1579" s="292"/>
      <c r="K1579" s="200"/>
      <c r="L1579" s="200"/>
      <c r="M1579" s="89" t="str">
        <f>IFERROR(VLOOKUP(H1579,Lijsten!$H$1:$I$100,2,0),"")</f>
        <v/>
      </c>
      <c r="N1579" s="89" t="str" cm="1">
        <f t="array" ref="N1579">IFERROR(_xlfn.IFS(AND(LEFT(F1579,6)="Arbeid",RIGHT(F1579,3)&lt;&gt;"IKS"),IFERROR(VLOOKUP($G1579,Tb_KostenTypen[],2,0),"tarief"),RIGHT(F1579,3)="IKS","Uurtarief",LEFT(F1579,6)="Arbeid","Uurtarief",AND(LEFT(F1579,8)="Bijdrage",RIGHT(F1579,15)="(vrijwilligers)"),"Vast tarief"),"")</f>
        <v/>
      </c>
      <c r="O1579" s="90"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0"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1"/>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59"/>
      <c r="Z1579" s="49"/>
      <c r="AA1579" s="37" t="str" cm="1">
        <f t="array" ref="AA1579">IFERROR(IF(INDEX(SubsidieTabel!$Q$1:$T$9,MATCH($F1579,SubsidieTabel!$Q$1:$Q$9,0),IFERROR(MATCH(Methode_Keuze,SubsidieTabel!$Q$1:$T$1,0),2))&lt;&gt;1=TRUE,"ja",""),"")</f>
        <v/>
      </c>
    </row>
    <row r="1580" spans="1:27" ht="15" customHeight="1" x14ac:dyDescent="0.25">
      <c r="A1580" s="85"/>
      <c r="B1580" s="217" t="str">
        <f>IF(A1580&lt;&gt;"",_xlfn.MAXIFS($B$1:B1579,$A$1:A1579,A1580)+1,"")</f>
        <v/>
      </c>
      <c r="C1580" s="50"/>
      <c r="D1580" s="50"/>
      <c r="E1580" s="50"/>
      <c r="F1580" s="50"/>
      <c r="G1580" s="280"/>
      <c r="H1580" s="293"/>
      <c r="I1580" s="292"/>
      <c r="J1580" s="292"/>
      <c r="K1580" s="200"/>
      <c r="L1580" s="200"/>
      <c r="M1580" s="89" t="str">
        <f>IFERROR(VLOOKUP(H1580,Lijsten!$H$1:$I$100,2,0),"")</f>
        <v/>
      </c>
      <c r="N1580" s="89" t="str" cm="1">
        <f t="array" ref="N1580">IFERROR(_xlfn.IFS(AND(LEFT(F1580,6)="Arbeid",RIGHT(F1580,3)&lt;&gt;"IKS"),IFERROR(VLOOKUP($G1580,Tb_KostenTypen[],2,0),"tarief"),RIGHT(F1580,3)="IKS","Uurtarief",LEFT(F1580,6)="Arbeid","Uurtarief",AND(LEFT(F1580,8)="Bijdrage",RIGHT(F1580,15)="(vrijwilligers)"),"Vast tarief"),"")</f>
        <v/>
      </c>
      <c r="O1580" s="90"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0"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1"/>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59"/>
      <c r="Z1580" s="49"/>
      <c r="AA1580" s="37" t="str" cm="1">
        <f t="array" ref="AA1580">IFERROR(IF(INDEX(SubsidieTabel!$Q$1:$T$9,MATCH($F1580,SubsidieTabel!$Q$1:$Q$9,0),IFERROR(MATCH(Methode_Keuze,SubsidieTabel!$Q$1:$T$1,0),2))&lt;&gt;1=TRUE,"ja",""),"")</f>
        <v/>
      </c>
    </row>
    <row r="1581" spans="1:27" ht="15" customHeight="1" x14ac:dyDescent="0.25">
      <c r="A1581" s="85"/>
      <c r="B1581" s="217" t="str">
        <f>IF(A1581&lt;&gt;"",_xlfn.MAXIFS($B$1:B1580,$A$1:A1580,A1581)+1,"")</f>
        <v/>
      </c>
      <c r="C1581" s="50"/>
      <c r="D1581" s="50"/>
      <c r="E1581" s="50"/>
      <c r="F1581" s="50"/>
      <c r="G1581" s="280"/>
      <c r="H1581" s="293"/>
      <c r="I1581" s="292"/>
      <c r="J1581" s="292"/>
      <c r="K1581" s="200"/>
      <c r="L1581" s="200"/>
      <c r="M1581" s="89" t="str">
        <f>IFERROR(VLOOKUP(H1581,Lijsten!$H$1:$I$100,2,0),"")</f>
        <v/>
      </c>
      <c r="N1581" s="89" t="str" cm="1">
        <f t="array" ref="N1581">IFERROR(_xlfn.IFS(AND(LEFT(F1581,6)="Arbeid",RIGHT(F1581,3)&lt;&gt;"IKS"),IFERROR(VLOOKUP($G1581,Tb_KostenTypen[],2,0),"tarief"),RIGHT(F1581,3)="IKS","Uurtarief",LEFT(F1581,6)="Arbeid","Uurtarief",AND(LEFT(F1581,8)="Bijdrage",RIGHT(F1581,15)="(vrijwilligers)"),"Vast tarief"),"")</f>
        <v/>
      </c>
      <c r="O1581" s="90"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0"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1"/>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59"/>
      <c r="Z1581" s="49"/>
      <c r="AA1581" s="37" t="str" cm="1">
        <f t="array" ref="AA1581">IFERROR(IF(INDEX(SubsidieTabel!$Q$1:$T$9,MATCH($F1581,SubsidieTabel!$Q$1:$Q$9,0),IFERROR(MATCH(Methode_Keuze,SubsidieTabel!$Q$1:$T$1,0),2))&lt;&gt;1=TRUE,"ja",""),"")</f>
        <v/>
      </c>
    </row>
    <row r="1582" spans="1:27" ht="15" customHeight="1" x14ac:dyDescent="0.25">
      <c r="A1582" s="85"/>
      <c r="B1582" s="217" t="str">
        <f>IF(A1582&lt;&gt;"",_xlfn.MAXIFS($B$1:B1581,$A$1:A1581,A1582)+1,"")</f>
        <v/>
      </c>
      <c r="C1582" s="50"/>
      <c r="D1582" s="50"/>
      <c r="E1582" s="50"/>
      <c r="F1582" s="50"/>
      <c r="G1582" s="280"/>
      <c r="H1582" s="293"/>
      <c r="I1582" s="292"/>
      <c r="J1582" s="292"/>
      <c r="K1582" s="200"/>
      <c r="L1582" s="200"/>
      <c r="M1582" s="89" t="str">
        <f>IFERROR(VLOOKUP(H1582,Lijsten!$H$1:$I$100,2,0),"")</f>
        <v/>
      </c>
      <c r="N1582" s="89" t="str" cm="1">
        <f t="array" ref="N1582">IFERROR(_xlfn.IFS(AND(LEFT(F1582,6)="Arbeid",RIGHT(F1582,3)&lt;&gt;"IKS"),IFERROR(VLOOKUP($G1582,Tb_KostenTypen[],2,0),"tarief"),RIGHT(F1582,3)="IKS","Uurtarief",LEFT(F1582,6)="Arbeid","Uurtarief",AND(LEFT(F1582,8)="Bijdrage",RIGHT(F1582,15)="(vrijwilligers)"),"Vast tarief"),"")</f>
        <v/>
      </c>
      <c r="O1582" s="90"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0"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1"/>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59"/>
      <c r="Z1582" s="49"/>
      <c r="AA1582" s="37" t="str" cm="1">
        <f t="array" ref="AA1582">IFERROR(IF(INDEX(SubsidieTabel!$Q$1:$T$9,MATCH($F1582,SubsidieTabel!$Q$1:$Q$9,0),IFERROR(MATCH(Methode_Keuze,SubsidieTabel!$Q$1:$T$1,0),2))&lt;&gt;1=TRUE,"ja",""),"")</f>
        <v/>
      </c>
    </row>
    <row r="1583" spans="1:27" ht="15" customHeight="1" x14ac:dyDescent="0.25">
      <c r="A1583" s="85"/>
      <c r="B1583" s="217" t="str">
        <f>IF(A1583&lt;&gt;"",_xlfn.MAXIFS($B$1:B1582,$A$1:A1582,A1583)+1,"")</f>
        <v/>
      </c>
      <c r="C1583" s="50"/>
      <c r="D1583" s="50"/>
      <c r="E1583" s="50"/>
      <c r="F1583" s="50"/>
      <c r="G1583" s="280"/>
      <c r="H1583" s="293"/>
      <c r="I1583" s="292"/>
      <c r="J1583" s="292"/>
      <c r="K1583" s="200"/>
      <c r="L1583" s="200"/>
      <c r="M1583" s="89" t="str">
        <f>IFERROR(VLOOKUP(H1583,Lijsten!$H$1:$I$100,2,0),"")</f>
        <v/>
      </c>
      <c r="N1583" s="89" t="str" cm="1">
        <f t="array" ref="N1583">IFERROR(_xlfn.IFS(AND(LEFT(F1583,6)="Arbeid",RIGHT(F1583,3)&lt;&gt;"IKS"),IFERROR(VLOOKUP($G1583,Tb_KostenTypen[],2,0),"tarief"),RIGHT(F1583,3)="IKS","Uurtarief",LEFT(F1583,6)="Arbeid","Uurtarief",AND(LEFT(F1583,8)="Bijdrage",RIGHT(F1583,15)="(vrijwilligers)"),"Vast tarief"),"")</f>
        <v/>
      </c>
      <c r="O1583" s="90"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0"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1"/>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59"/>
      <c r="Z1583" s="49"/>
      <c r="AA1583" s="37" t="str" cm="1">
        <f t="array" ref="AA1583">IFERROR(IF(INDEX(SubsidieTabel!$Q$1:$T$9,MATCH($F1583,SubsidieTabel!$Q$1:$Q$9,0),IFERROR(MATCH(Methode_Keuze,SubsidieTabel!$Q$1:$T$1,0),2))&lt;&gt;1=TRUE,"ja",""),"")</f>
        <v/>
      </c>
    </row>
    <row r="1584" spans="1:27" ht="15" customHeight="1" x14ac:dyDescent="0.25">
      <c r="A1584" s="85"/>
      <c r="B1584" s="217" t="str">
        <f>IF(A1584&lt;&gt;"",_xlfn.MAXIFS($B$1:B1583,$A$1:A1583,A1584)+1,"")</f>
        <v/>
      </c>
      <c r="C1584" s="50"/>
      <c r="D1584" s="50"/>
      <c r="E1584" s="50"/>
      <c r="F1584" s="50"/>
      <c r="G1584" s="280"/>
      <c r="H1584" s="293"/>
      <c r="I1584" s="292"/>
      <c r="J1584" s="292"/>
      <c r="K1584" s="200"/>
      <c r="L1584" s="200"/>
      <c r="M1584" s="89" t="str">
        <f>IFERROR(VLOOKUP(H1584,Lijsten!$H$1:$I$100,2,0),"")</f>
        <v/>
      </c>
      <c r="N1584" s="89" t="str" cm="1">
        <f t="array" ref="N1584">IFERROR(_xlfn.IFS(AND(LEFT(F1584,6)="Arbeid",RIGHT(F1584,3)&lt;&gt;"IKS"),IFERROR(VLOOKUP($G1584,Tb_KostenTypen[],2,0),"tarief"),RIGHT(F1584,3)="IKS","Uurtarief",LEFT(F1584,6)="Arbeid","Uurtarief",AND(LEFT(F1584,8)="Bijdrage",RIGHT(F1584,15)="(vrijwilligers)"),"Vast tarief"),"")</f>
        <v/>
      </c>
      <c r="O1584" s="90"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0"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1"/>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59"/>
      <c r="Z1584" s="49"/>
      <c r="AA1584" s="37" t="str" cm="1">
        <f t="array" ref="AA1584">IFERROR(IF(INDEX(SubsidieTabel!$Q$1:$T$9,MATCH($F1584,SubsidieTabel!$Q$1:$Q$9,0),IFERROR(MATCH(Methode_Keuze,SubsidieTabel!$Q$1:$T$1,0),2))&lt;&gt;1=TRUE,"ja",""),"")</f>
        <v/>
      </c>
    </row>
    <row r="1585" spans="1:27" ht="15" customHeight="1" x14ac:dyDescent="0.25">
      <c r="A1585" s="85"/>
      <c r="B1585" s="217" t="str">
        <f>IF(A1585&lt;&gt;"",_xlfn.MAXIFS($B$1:B1584,$A$1:A1584,A1585)+1,"")</f>
        <v/>
      </c>
      <c r="C1585" s="50"/>
      <c r="D1585" s="50"/>
      <c r="E1585" s="50"/>
      <c r="F1585" s="50"/>
      <c r="G1585" s="280"/>
      <c r="H1585" s="293"/>
      <c r="I1585" s="292"/>
      <c r="J1585" s="292"/>
      <c r="K1585" s="200"/>
      <c r="L1585" s="200"/>
      <c r="M1585" s="89" t="str">
        <f>IFERROR(VLOOKUP(H1585,Lijsten!$H$1:$I$100,2,0),"")</f>
        <v/>
      </c>
      <c r="N1585" s="89" t="str" cm="1">
        <f t="array" ref="N1585">IFERROR(_xlfn.IFS(AND(LEFT(F1585,6)="Arbeid",RIGHT(F1585,3)&lt;&gt;"IKS"),IFERROR(VLOOKUP($G1585,Tb_KostenTypen[],2,0),"tarief"),RIGHT(F1585,3)="IKS","Uurtarief",LEFT(F1585,6)="Arbeid","Uurtarief",AND(LEFT(F1585,8)="Bijdrage",RIGHT(F1585,15)="(vrijwilligers)"),"Vast tarief"),"")</f>
        <v/>
      </c>
      <c r="O1585" s="90"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0"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1"/>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59"/>
      <c r="Z1585" s="49"/>
      <c r="AA1585" s="37" t="str" cm="1">
        <f t="array" ref="AA1585">IFERROR(IF(INDEX(SubsidieTabel!$Q$1:$T$9,MATCH($F1585,SubsidieTabel!$Q$1:$Q$9,0),IFERROR(MATCH(Methode_Keuze,SubsidieTabel!$Q$1:$T$1,0),2))&lt;&gt;1=TRUE,"ja",""),"")</f>
        <v/>
      </c>
    </row>
    <row r="1586" spans="1:27" ht="15" customHeight="1" x14ac:dyDescent="0.25">
      <c r="A1586" s="85"/>
      <c r="B1586" s="217" t="str">
        <f>IF(A1586&lt;&gt;"",_xlfn.MAXIFS($B$1:B1585,$A$1:A1585,A1586)+1,"")</f>
        <v/>
      </c>
      <c r="C1586" s="50"/>
      <c r="D1586" s="50"/>
      <c r="E1586" s="50"/>
      <c r="F1586" s="50"/>
      <c r="G1586" s="280"/>
      <c r="H1586" s="293"/>
      <c r="I1586" s="292"/>
      <c r="J1586" s="292"/>
      <c r="K1586" s="200"/>
      <c r="L1586" s="200"/>
      <c r="M1586" s="89" t="str">
        <f>IFERROR(VLOOKUP(H1586,Lijsten!$H$1:$I$100,2,0),"")</f>
        <v/>
      </c>
      <c r="N1586" s="89" t="str" cm="1">
        <f t="array" ref="N1586">IFERROR(_xlfn.IFS(AND(LEFT(F1586,6)="Arbeid",RIGHT(F1586,3)&lt;&gt;"IKS"),IFERROR(VLOOKUP($G1586,Tb_KostenTypen[],2,0),"tarief"),RIGHT(F1586,3)="IKS","Uurtarief",LEFT(F1586,6)="Arbeid","Uurtarief",AND(LEFT(F1586,8)="Bijdrage",RIGHT(F1586,15)="(vrijwilligers)"),"Vast tarief"),"")</f>
        <v/>
      </c>
      <c r="O1586" s="90"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0"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1"/>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59"/>
      <c r="Z1586" s="49"/>
      <c r="AA1586" s="37" t="str" cm="1">
        <f t="array" ref="AA1586">IFERROR(IF(INDEX(SubsidieTabel!$Q$1:$T$9,MATCH($F1586,SubsidieTabel!$Q$1:$Q$9,0),IFERROR(MATCH(Methode_Keuze,SubsidieTabel!$Q$1:$T$1,0),2))&lt;&gt;1=TRUE,"ja",""),"")</f>
        <v/>
      </c>
    </row>
    <row r="1587" spans="1:27" ht="15" customHeight="1" x14ac:dyDescent="0.25">
      <c r="A1587" s="85"/>
      <c r="B1587" s="217" t="str">
        <f>IF(A1587&lt;&gt;"",_xlfn.MAXIFS($B$1:B1586,$A$1:A1586,A1587)+1,"")</f>
        <v/>
      </c>
      <c r="C1587" s="50"/>
      <c r="D1587" s="50"/>
      <c r="E1587" s="50"/>
      <c r="F1587" s="50"/>
      <c r="G1587" s="280"/>
      <c r="H1587" s="293"/>
      <c r="I1587" s="292"/>
      <c r="J1587" s="292"/>
      <c r="K1587" s="200"/>
      <c r="L1587" s="200"/>
      <c r="M1587" s="89" t="str">
        <f>IFERROR(VLOOKUP(H1587,Lijsten!$H$1:$I$100,2,0),"")</f>
        <v/>
      </c>
      <c r="N1587" s="89" t="str" cm="1">
        <f t="array" ref="N1587">IFERROR(_xlfn.IFS(AND(LEFT(F1587,6)="Arbeid",RIGHT(F1587,3)&lt;&gt;"IKS"),IFERROR(VLOOKUP($G1587,Tb_KostenTypen[],2,0),"tarief"),RIGHT(F1587,3)="IKS","Uurtarief",LEFT(F1587,6)="Arbeid","Uurtarief",AND(LEFT(F1587,8)="Bijdrage",RIGHT(F1587,15)="(vrijwilligers)"),"Vast tarief"),"")</f>
        <v/>
      </c>
      <c r="O1587" s="90"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0"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1"/>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59"/>
      <c r="Z1587" s="49"/>
      <c r="AA1587" s="37" t="str" cm="1">
        <f t="array" ref="AA1587">IFERROR(IF(INDEX(SubsidieTabel!$Q$1:$T$9,MATCH($F1587,SubsidieTabel!$Q$1:$Q$9,0),IFERROR(MATCH(Methode_Keuze,SubsidieTabel!$Q$1:$T$1,0),2))&lt;&gt;1=TRUE,"ja",""),"")</f>
        <v/>
      </c>
    </row>
    <row r="1588" spans="1:27" ht="15" customHeight="1" x14ac:dyDescent="0.25">
      <c r="A1588" s="85"/>
      <c r="B1588" s="217" t="str">
        <f>IF(A1588&lt;&gt;"",_xlfn.MAXIFS($B$1:B1587,$A$1:A1587,A1588)+1,"")</f>
        <v/>
      </c>
      <c r="C1588" s="50"/>
      <c r="D1588" s="50"/>
      <c r="E1588" s="50"/>
      <c r="F1588" s="50"/>
      <c r="G1588" s="280"/>
      <c r="H1588" s="293"/>
      <c r="I1588" s="292"/>
      <c r="J1588" s="292"/>
      <c r="K1588" s="200"/>
      <c r="L1588" s="200"/>
      <c r="M1588" s="89" t="str">
        <f>IFERROR(VLOOKUP(H1588,Lijsten!$H$1:$I$100,2,0),"")</f>
        <v/>
      </c>
      <c r="N1588" s="89" t="str" cm="1">
        <f t="array" ref="N1588">IFERROR(_xlfn.IFS(AND(LEFT(F1588,6)="Arbeid",RIGHT(F1588,3)&lt;&gt;"IKS"),IFERROR(VLOOKUP($G1588,Tb_KostenTypen[],2,0),"tarief"),RIGHT(F1588,3)="IKS","Uurtarief",LEFT(F1588,6)="Arbeid","Uurtarief",AND(LEFT(F1588,8)="Bijdrage",RIGHT(F1588,15)="(vrijwilligers)"),"Vast tarief"),"")</f>
        <v/>
      </c>
      <c r="O1588" s="90"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0"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1"/>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59"/>
      <c r="Z1588" s="49"/>
      <c r="AA1588" s="37" t="str" cm="1">
        <f t="array" ref="AA1588">IFERROR(IF(INDEX(SubsidieTabel!$Q$1:$T$9,MATCH($F1588,SubsidieTabel!$Q$1:$Q$9,0),IFERROR(MATCH(Methode_Keuze,SubsidieTabel!$Q$1:$T$1,0),2))&lt;&gt;1=TRUE,"ja",""),"")</f>
        <v/>
      </c>
    </row>
    <row r="1589" spans="1:27" ht="15" customHeight="1" x14ac:dyDescent="0.25">
      <c r="A1589" s="85"/>
      <c r="B1589" s="217" t="str">
        <f>IF(A1589&lt;&gt;"",_xlfn.MAXIFS($B$1:B1588,$A$1:A1588,A1589)+1,"")</f>
        <v/>
      </c>
      <c r="C1589" s="50"/>
      <c r="D1589" s="50"/>
      <c r="E1589" s="50"/>
      <c r="F1589" s="50"/>
      <c r="G1589" s="280"/>
      <c r="H1589" s="293"/>
      <c r="I1589" s="292"/>
      <c r="J1589" s="292"/>
      <c r="K1589" s="200"/>
      <c r="L1589" s="200"/>
      <c r="M1589" s="89" t="str">
        <f>IFERROR(VLOOKUP(H1589,Lijsten!$H$1:$I$100,2,0),"")</f>
        <v/>
      </c>
      <c r="N1589" s="89" t="str" cm="1">
        <f t="array" ref="N1589">IFERROR(_xlfn.IFS(AND(LEFT(F1589,6)="Arbeid",RIGHT(F1589,3)&lt;&gt;"IKS"),IFERROR(VLOOKUP($G1589,Tb_KostenTypen[],2,0),"tarief"),RIGHT(F1589,3)="IKS","Uurtarief",LEFT(F1589,6)="Arbeid","Uurtarief",AND(LEFT(F1589,8)="Bijdrage",RIGHT(F1589,15)="(vrijwilligers)"),"Vast tarief"),"")</f>
        <v/>
      </c>
      <c r="O1589" s="90"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0"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1"/>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59"/>
      <c r="Z1589" s="49"/>
      <c r="AA1589" s="37" t="str" cm="1">
        <f t="array" ref="AA1589">IFERROR(IF(INDEX(SubsidieTabel!$Q$1:$T$9,MATCH($F1589,SubsidieTabel!$Q$1:$Q$9,0),IFERROR(MATCH(Methode_Keuze,SubsidieTabel!$Q$1:$T$1,0),2))&lt;&gt;1=TRUE,"ja",""),"")</f>
        <v/>
      </c>
    </row>
    <row r="1590" spans="1:27" ht="15" customHeight="1" x14ac:dyDescent="0.25">
      <c r="A1590" s="85"/>
      <c r="B1590" s="217" t="str">
        <f>IF(A1590&lt;&gt;"",_xlfn.MAXIFS($B$1:B1589,$A$1:A1589,A1590)+1,"")</f>
        <v/>
      </c>
      <c r="C1590" s="50"/>
      <c r="D1590" s="50"/>
      <c r="E1590" s="50"/>
      <c r="F1590" s="50"/>
      <c r="G1590" s="280"/>
      <c r="H1590" s="293"/>
      <c r="I1590" s="292"/>
      <c r="J1590" s="292"/>
      <c r="K1590" s="200"/>
      <c r="L1590" s="200"/>
      <c r="M1590" s="89" t="str">
        <f>IFERROR(VLOOKUP(H1590,Lijsten!$H$1:$I$100,2,0),"")</f>
        <v/>
      </c>
      <c r="N1590" s="89" t="str" cm="1">
        <f t="array" ref="N1590">IFERROR(_xlfn.IFS(AND(LEFT(F1590,6)="Arbeid",RIGHT(F1590,3)&lt;&gt;"IKS"),IFERROR(VLOOKUP($G1590,Tb_KostenTypen[],2,0),"tarief"),RIGHT(F1590,3)="IKS","Uurtarief",LEFT(F1590,6)="Arbeid","Uurtarief",AND(LEFT(F1590,8)="Bijdrage",RIGHT(F1590,15)="(vrijwilligers)"),"Vast tarief"),"")</f>
        <v/>
      </c>
      <c r="O1590" s="90"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0"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1"/>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59"/>
      <c r="Z1590" s="49"/>
      <c r="AA1590" s="37" t="str" cm="1">
        <f t="array" ref="AA1590">IFERROR(IF(INDEX(SubsidieTabel!$Q$1:$T$9,MATCH($F1590,SubsidieTabel!$Q$1:$Q$9,0),IFERROR(MATCH(Methode_Keuze,SubsidieTabel!$Q$1:$T$1,0),2))&lt;&gt;1=TRUE,"ja",""),"")</f>
        <v/>
      </c>
    </row>
    <row r="1591" spans="1:27" ht="15" customHeight="1" x14ac:dyDescent="0.25">
      <c r="A1591" s="85"/>
      <c r="B1591" s="217" t="str">
        <f>IF(A1591&lt;&gt;"",_xlfn.MAXIFS($B$1:B1590,$A$1:A1590,A1591)+1,"")</f>
        <v/>
      </c>
      <c r="C1591" s="50"/>
      <c r="D1591" s="50"/>
      <c r="E1591" s="50"/>
      <c r="F1591" s="50"/>
      <c r="G1591" s="280"/>
      <c r="H1591" s="293"/>
      <c r="I1591" s="292"/>
      <c r="J1591" s="292"/>
      <c r="K1591" s="200"/>
      <c r="L1591" s="200"/>
      <c r="M1591" s="89" t="str">
        <f>IFERROR(VLOOKUP(H1591,Lijsten!$H$1:$I$100,2,0),"")</f>
        <v/>
      </c>
      <c r="N1591" s="89" t="str" cm="1">
        <f t="array" ref="N1591">IFERROR(_xlfn.IFS(AND(LEFT(F1591,6)="Arbeid",RIGHT(F1591,3)&lt;&gt;"IKS"),IFERROR(VLOOKUP($G1591,Tb_KostenTypen[],2,0),"tarief"),RIGHT(F1591,3)="IKS","Uurtarief",LEFT(F1591,6)="Arbeid","Uurtarief",AND(LEFT(F1591,8)="Bijdrage",RIGHT(F1591,15)="(vrijwilligers)"),"Vast tarief"),"")</f>
        <v/>
      </c>
      <c r="O1591" s="90"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0"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1"/>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59"/>
      <c r="Z1591" s="49"/>
      <c r="AA1591" s="37" t="str" cm="1">
        <f t="array" ref="AA1591">IFERROR(IF(INDEX(SubsidieTabel!$Q$1:$T$9,MATCH($F1591,SubsidieTabel!$Q$1:$Q$9,0),IFERROR(MATCH(Methode_Keuze,SubsidieTabel!$Q$1:$T$1,0),2))&lt;&gt;1=TRUE,"ja",""),"")</f>
        <v/>
      </c>
    </row>
    <row r="1592" spans="1:27" ht="15" customHeight="1" x14ac:dyDescent="0.25">
      <c r="A1592" s="85"/>
      <c r="B1592" s="217" t="str">
        <f>IF(A1592&lt;&gt;"",_xlfn.MAXIFS($B$1:B1591,$A$1:A1591,A1592)+1,"")</f>
        <v/>
      </c>
      <c r="C1592" s="50"/>
      <c r="D1592" s="50"/>
      <c r="E1592" s="50"/>
      <c r="F1592" s="50"/>
      <c r="G1592" s="280"/>
      <c r="H1592" s="293"/>
      <c r="I1592" s="292"/>
      <c r="J1592" s="292"/>
      <c r="K1592" s="200"/>
      <c r="L1592" s="200"/>
      <c r="M1592" s="89" t="str">
        <f>IFERROR(VLOOKUP(H1592,Lijsten!$H$1:$I$100,2,0),"")</f>
        <v/>
      </c>
      <c r="N1592" s="89" t="str" cm="1">
        <f t="array" ref="N1592">IFERROR(_xlfn.IFS(AND(LEFT(F1592,6)="Arbeid",RIGHT(F1592,3)&lt;&gt;"IKS"),IFERROR(VLOOKUP($G1592,Tb_KostenTypen[],2,0),"tarief"),RIGHT(F1592,3)="IKS","Uurtarief",LEFT(F1592,6)="Arbeid","Uurtarief",AND(LEFT(F1592,8)="Bijdrage",RIGHT(F1592,15)="(vrijwilligers)"),"Vast tarief"),"")</f>
        <v/>
      </c>
      <c r="O1592" s="90"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0"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1"/>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59"/>
      <c r="Z1592" s="49"/>
      <c r="AA1592" s="37" t="str" cm="1">
        <f t="array" ref="AA1592">IFERROR(IF(INDEX(SubsidieTabel!$Q$1:$T$9,MATCH($F1592,SubsidieTabel!$Q$1:$Q$9,0),IFERROR(MATCH(Methode_Keuze,SubsidieTabel!$Q$1:$T$1,0),2))&lt;&gt;1=TRUE,"ja",""),"")</f>
        <v/>
      </c>
    </row>
    <row r="1593" spans="1:27" ht="15" customHeight="1" x14ac:dyDescent="0.25">
      <c r="A1593" s="85"/>
      <c r="B1593" s="217" t="str">
        <f>IF(A1593&lt;&gt;"",_xlfn.MAXIFS($B$1:B1592,$A$1:A1592,A1593)+1,"")</f>
        <v/>
      </c>
      <c r="C1593" s="50"/>
      <c r="D1593" s="50"/>
      <c r="E1593" s="50"/>
      <c r="F1593" s="50"/>
      <c r="G1593" s="280"/>
      <c r="H1593" s="293"/>
      <c r="I1593" s="292"/>
      <c r="J1593" s="292"/>
      <c r="K1593" s="200"/>
      <c r="L1593" s="200"/>
      <c r="M1593" s="89" t="str">
        <f>IFERROR(VLOOKUP(H1593,Lijsten!$H$1:$I$100,2,0),"")</f>
        <v/>
      </c>
      <c r="N1593" s="89" t="str" cm="1">
        <f t="array" ref="N1593">IFERROR(_xlfn.IFS(AND(LEFT(F1593,6)="Arbeid",RIGHT(F1593,3)&lt;&gt;"IKS"),IFERROR(VLOOKUP($G1593,Tb_KostenTypen[],2,0),"tarief"),RIGHT(F1593,3)="IKS","Uurtarief",LEFT(F1593,6)="Arbeid","Uurtarief",AND(LEFT(F1593,8)="Bijdrage",RIGHT(F1593,15)="(vrijwilligers)"),"Vast tarief"),"")</f>
        <v/>
      </c>
      <c r="O1593" s="90"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0"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1"/>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59"/>
      <c r="Z1593" s="49"/>
      <c r="AA1593" s="37" t="str" cm="1">
        <f t="array" ref="AA1593">IFERROR(IF(INDEX(SubsidieTabel!$Q$1:$T$9,MATCH($F1593,SubsidieTabel!$Q$1:$Q$9,0),IFERROR(MATCH(Methode_Keuze,SubsidieTabel!$Q$1:$T$1,0),2))&lt;&gt;1=TRUE,"ja",""),"")</f>
        <v/>
      </c>
    </row>
    <row r="1594" spans="1:27" ht="15" customHeight="1" x14ac:dyDescent="0.25">
      <c r="A1594" s="85"/>
      <c r="B1594" s="217" t="str">
        <f>IF(A1594&lt;&gt;"",_xlfn.MAXIFS($B$1:B1593,$A$1:A1593,A1594)+1,"")</f>
        <v/>
      </c>
      <c r="C1594" s="50"/>
      <c r="D1594" s="50"/>
      <c r="E1594" s="50"/>
      <c r="F1594" s="50"/>
      <c r="G1594" s="280"/>
      <c r="H1594" s="293"/>
      <c r="I1594" s="292"/>
      <c r="J1594" s="292"/>
      <c r="K1594" s="200"/>
      <c r="L1594" s="200"/>
      <c r="M1594" s="89" t="str">
        <f>IFERROR(VLOOKUP(H1594,Lijsten!$H$1:$I$100,2,0),"")</f>
        <v/>
      </c>
      <c r="N1594" s="89" t="str" cm="1">
        <f t="array" ref="N1594">IFERROR(_xlfn.IFS(AND(LEFT(F1594,6)="Arbeid",RIGHT(F1594,3)&lt;&gt;"IKS"),IFERROR(VLOOKUP($G1594,Tb_KostenTypen[],2,0),"tarief"),RIGHT(F1594,3)="IKS","Uurtarief",LEFT(F1594,6)="Arbeid","Uurtarief",AND(LEFT(F1594,8)="Bijdrage",RIGHT(F1594,15)="(vrijwilligers)"),"Vast tarief"),"")</f>
        <v/>
      </c>
      <c r="O1594" s="90"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0"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1"/>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59"/>
      <c r="Z1594" s="49"/>
      <c r="AA1594" s="37" t="str" cm="1">
        <f t="array" ref="AA1594">IFERROR(IF(INDEX(SubsidieTabel!$Q$1:$T$9,MATCH($F1594,SubsidieTabel!$Q$1:$Q$9,0),IFERROR(MATCH(Methode_Keuze,SubsidieTabel!$Q$1:$T$1,0),2))&lt;&gt;1=TRUE,"ja",""),"")</f>
        <v/>
      </c>
    </row>
    <row r="1595" spans="1:27" ht="15" customHeight="1" x14ac:dyDescent="0.25">
      <c r="A1595" s="85"/>
      <c r="B1595" s="217" t="str">
        <f>IF(A1595&lt;&gt;"",_xlfn.MAXIFS($B$1:B1594,$A$1:A1594,A1595)+1,"")</f>
        <v/>
      </c>
      <c r="C1595" s="50"/>
      <c r="D1595" s="50"/>
      <c r="E1595" s="50"/>
      <c r="F1595" s="50"/>
      <c r="G1595" s="280"/>
      <c r="H1595" s="293"/>
      <c r="I1595" s="292"/>
      <c r="J1595" s="292"/>
      <c r="K1595" s="200"/>
      <c r="L1595" s="200"/>
      <c r="M1595" s="89" t="str">
        <f>IFERROR(VLOOKUP(H1595,Lijsten!$H$1:$I$100,2,0),"")</f>
        <v/>
      </c>
      <c r="N1595" s="89" t="str" cm="1">
        <f t="array" ref="N1595">IFERROR(_xlfn.IFS(AND(LEFT(F1595,6)="Arbeid",RIGHT(F1595,3)&lt;&gt;"IKS"),IFERROR(VLOOKUP($G1595,Tb_KostenTypen[],2,0),"tarief"),RIGHT(F1595,3)="IKS","Uurtarief",LEFT(F1595,6)="Arbeid","Uurtarief",AND(LEFT(F1595,8)="Bijdrage",RIGHT(F1595,15)="(vrijwilligers)"),"Vast tarief"),"")</f>
        <v/>
      </c>
      <c r="O1595" s="90"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0"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1"/>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59"/>
      <c r="Z1595" s="49"/>
      <c r="AA1595" s="37" t="str" cm="1">
        <f t="array" ref="AA1595">IFERROR(IF(INDEX(SubsidieTabel!$Q$1:$T$9,MATCH($F1595,SubsidieTabel!$Q$1:$Q$9,0),IFERROR(MATCH(Methode_Keuze,SubsidieTabel!$Q$1:$T$1,0),2))&lt;&gt;1=TRUE,"ja",""),"")</f>
        <v/>
      </c>
    </row>
    <row r="1596" spans="1:27" ht="15" customHeight="1" x14ac:dyDescent="0.25">
      <c r="A1596" s="85"/>
      <c r="B1596" s="217" t="str">
        <f>IF(A1596&lt;&gt;"",_xlfn.MAXIFS($B$1:B1595,$A$1:A1595,A1596)+1,"")</f>
        <v/>
      </c>
      <c r="C1596" s="50"/>
      <c r="D1596" s="50"/>
      <c r="E1596" s="50"/>
      <c r="F1596" s="50"/>
      <c r="G1596" s="280"/>
      <c r="H1596" s="293"/>
      <c r="I1596" s="292"/>
      <c r="J1596" s="292"/>
      <c r="K1596" s="200"/>
      <c r="L1596" s="200"/>
      <c r="M1596" s="89" t="str">
        <f>IFERROR(VLOOKUP(H1596,Lijsten!$H$1:$I$100,2,0),"")</f>
        <v/>
      </c>
      <c r="N1596" s="89" t="str" cm="1">
        <f t="array" ref="N1596">IFERROR(_xlfn.IFS(AND(LEFT(F1596,6)="Arbeid",RIGHT(F1596,3)&lt;&gt;"IKS"),IFERROR(VLOOKUP($G1596,Tb_KostenTypen[],2,0),"tarief"),RIGHT(F1596,3)="IKS","Uurtarief",LEFT(F1596,6)="Arbeid","Uurtarief",AND(LEFT(F1596,8)="Bijdrage",RIGHT(F1596,15)="(vrijwilligers)"),"Vast tarief"),"")</f>
        <v/>
      </c>
      <c r="O1596" s="90"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0"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1"/>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59"/>
      <c r="Z1596" s="49"/>
      <c r="AA1596" s="37" t="str" cm="1">
        <f t="array" ref="AA1596">IFERROR(IF(INDEX(SubsidieTabel!$Q$1:$T$9,MATCH($F1596,SubsidieTabel!$Q$1:$Q$9,0),IFERROR(MATCH(Methode_Keuze,SubsidieTabel!$Q$1:$T$1,0),2))&lt;&gt;1=TRUE,"ja",""),"")</f>
        <v/>
      </c>
    </row>
    <row r="1597" spans="1:27" ht="15" customHeight="1" x14ac:dyDescent="0.25">
      <c r="A1597" s="85"/>
      <c r="B1597" s="217" t="str">
        <f>IF(A1597&lt;&gt;"",_xlfn.MAXIFS($B$1:B1596,$A$1:A1596,A1597)+1,"")</f>
        <v/>
      </c>
      <c r="C1597" s="50"/>
      <c r="D1597" s="50"/>
      <c r="E1597" s="50"/>
      <c r="F1597" s="50"/>
      <c r="G1597" s="280"/>
      <c r="H1597" s="293"/>
      <c r="I1597" s="292"/>
      <c r="J1597" s="292"/>
      <c r="K1597" s="200"/>
      <c r="L1597" s="200"/>
      <c r="M1597" s="89" t="str">
        <f>IFERROR(VLOOKUP(H1597,Lijsten!$H$1:$I$100,2,0),"")</f>
        <v/>
      </c>
      <c r="N1597" s="89" t="str" cm="1">
        <f t="array" ref="N1597">IFERROR(_xlfn.IFS(AND(LEFT(F1597,6)="Arbeid",RIGHT(F1597,3)&lt;&gt;"IKS"),IFERROR(VLOOKUP($G1597,Tb_KostenTypen[],2,0),"tarief"),RIGHT(F1597,3)="IKS","Uurtarief",LEFT(F1597,6)="Arbeid","Uurtarief",AND(LEFT(F1597,8)="Bijdrage",RIGHT(F1597,15)="(vrijwilligers)"),"Vast tarief"),"")</f>
        <v/>
      </c>
      <c r="O1597" s="90"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0"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1"/>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59"/>
      <c r="Z1597" s="49"/>
      <c r="AA1597" s="37" t="str" cm="1">
        <f t="array" ref="AA1597">IFERROR(IF(INDEX(SubsidieTabel!$Q$1:$T$9,MATCH($F1597,SubsidieTabel!$Q$1:$Q$9,0),IFERROR(MATCH(Methode_Keuze,SubsidieTabel!$Q$1:$T$1,0),2))&lt;&gt;1=TRUE,"ja",""),"")</f>
        <v/>
      </c>
    </row>
    <row r="1598" spans="1:27" ht="15" customHeight="1" x14ac:dyDescent="0.25">
      <c r="A1598" s="85"/>
      <c r="B1598" s="217" t="str">
        <f>IF(A1598&lt;&gt;"",_xlfn.MAXIFS($B$1:B1597,$A$1:A1597,A1598)+1,"")</f>
        <v/>
      </c>
      <c r="C1598" s="50"/>
      <c r="D1598" s="50"/>
      <c r="E1598" s="50"/>
      <c r="F1598" s="50"/>
      <c r="G1598" s="280"/>
      <c r="H1598" s="293"/>
      <c r="I1598" s="292"/>
      <c r="J1598" s="292"/>
      <c r="K1598" s="200"/>
      <c r="L1598" s="200"/>
      <c r="M1598" s="89" t="str">
        <f>IFERROR(VLOOKUP(H1598,Lijsten!$H$1:$I$100,2,0),"")</f>
        <v/>
      </c>
      <c r="N1598" s="89" t="str" cm="1">
        <f t="array" ref="N1598">IFERROR(_xlfn.IFS(AND(LEFT(F1598,6)="Arbeid",RIGHT(F1598,3)&lt;&gt;"IKS"),IFERROR(VLOOKUP($G1598,Tb_KostenTypen[],2,0),"tarief"),RIGHT(F1598,3)="IKS","Uurtarief",LEFT(F1598,6)="Arbeid","Uurtarief",AND(LEFT(F1598,8)="Bijdrage",RIGHT(F1598,15)="(vrijwilligers)"),"Vast tarief"),"")</f>
        <v/>
      </c>
      <c r="O1598" s="90"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0"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1"/>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59"/>
      <c r="Z1598" s="49"/>
      <c r="AA1598" s="37" t="str" cm="1">
        <f t="array" ref="AA1598">IFERROR(IF(INDEX(SubsidieTabel!$Q$1:$T$9,MATCH($F1598,SubsidieTabel!$Q$1:$Q$9,0),IFERROR(MATCH(Methode_Keuze,SubsidieTabel!$Q$1:$T$1,0),2))&lt;&gt;1=TRUE,"ja",""),"")</f>
        <v/>
      </c>
    </row>
    <row r="1599" spans="1:27" ht="15" customHeight="1" x14ac:dyDescent="0.25">
      <c r="A1599" s="85"/>
      <c r="B1599" s="217" t="str">
        <f>IF(A1599&lt;&gt;"",_xlfn.MAXIFS($B$1:B1598,$A$1:A1598,A1599)+1,"")</f>
        <v/>
      </c>
      <c r="C1599" s="50"/>
      <c r="D1599" s="50"/>
      <c r="E1599" s="50"/>
      <c r="F1599" s="50"/>
      <c r="G1599" s="280"/>
      <c r="H1599" s="293"/>
      <c r="I1599" s="292"/>
      <c r="J1599" s="292"/>
      <c r="K1599" s="200"/>
      <c r="L1599" s="200"/>
      <c r="M1599" s="89" t="str">
        <f>IFERROR(VLOOKUP(H1599,Lijsten!$H$1:$I$100,2,0),"")</f>
        <v/>
      </c>
      <c r="N1599" s="89" t="str" cm="1">
        <f t="array" ref="N1599">IFERROR(_xlfn.IFS(AND(LEFT(F1599,6)="Arbeid",RIGHT(F1599,3)&lt;&gt;"IKS"),IFERROR(VLOOKUP($G1599,Tb_KostenTypen[],2,0),"tarief"),RIGHT(F1599,3)="IKS","Uurtarief",LEFT(F1599,6)="Arbeid","Uurtarief",AND(LEFT(F1599,8)="Bijdrage",RIGHT(F1599,15)="(vrijwilligers)"),"Vast tarief"),"")</f>
        <v/>
      </c>
      <c r="O1599" s="90"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0"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1"/>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59"/>
      <c r="Z1599" s="49"/>
      <c r="AA1599" s="37" t="str" cm="1">
        <f t="array" ref="AA1599">IFERROR(IF(INDEX(SubsidieTabel!$Q$1:$T$9,MATCH($F1599,SubsidieTabel!$Q$1:$Q$9,0),IFERROR(MATCH(Methode_Keuze,SubsidieTabel!$Q$1:$T$1,0),2))&lt;&gt;1=TRUE,"ja",""),"")</f>
        <v/>
      </c>
    </row>
    <row r="1600" spans="1:27" ht="15" customHeight="1" x14ac:dyDescent="0.25">
      <c r="A1600" s="85"/>
      <c r="B1600" s="217" t="str">
        <f>IF(A1600&lt;&gt;"",_xlfn.MAXIFS($B$1:B1599,$A$1:A1599,A1600)+1,"")</f>
        <v/>
      </c>
      <c r="C1600" s="50"/>
      <c r="D1600" s="50"/>
      <c r="E1600" s="50"/>
      <c r="F1600" s="50"/>
      <c r="G1600" s="280"/>
      <c r="H1600" s="293"/>
      <c r="I1600" s="292"/>
      <c r="J1600" s="292"/>
      <c r="K1600" s="200"/>
      <c r="L1600" s="200"/>
      <c r="M1600" s="89" t="str">
        <f>IFERROR(VLOOKUP(H1600,Lijsten!$H$1:$I$100,2,0),"")</f>
        <v/>
      </c>
      <c r="N1600" s="89" t="str" cm="1">
        <f t="array" ref="N1600">IFERROR(_xlfn.IFS(AND(LEFT(F1600,6)="Arbeid",RIGHT(F1600,3)&lt;&gt;"IKS"),IFERROR(VLOOKUP($G1600,Tb_KostenTypen[],2,0),"tarief"),RIGHT(F1600,3)="IKS","Uurtarief",LEFT(F1600,6)="Arbeid","Uurtarief",AND(LEFT(F1600,8)="Bijdrage",RIGHT(F1600,15)="(vrijwilligers)"),"Vast tarief"),"")</f>
        <v/>
      </c>
      <c r="O1600" s="90"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0"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1"/>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59"/>
      <c r="Z1600" s="49"/>
      <c r="AA1600" s="37" t="str" cm="1">
        <f t="array" ref="AA1600">IFERROR(IF(INDEX(SubsidieTabel!$Q$1:$T$9,MATCH($F1600,SubsidieTabel!$Q$1:$Q$9,0),IFERROR(MATCH(Methode_Keuze,SubsidieTabel!$Q$1:$T$1,0),2))&lt;&gt;1=TRUE,"ja",""),"")</f>
        <v/>
      </c>
    </row>
    <row r="1601" spans="1:27" ht="15" customHeight="1" x14ac:dyDescent="0.25">
      <c r="A1601" s="85"/>
      <c r="B1601" s="217" t="str">
        <f>IF(A1601&lt;&gt;"",_xlfn.MAXIFS($B$1:B1600,$A$1:A1600,A1601)+1,"")</f>
        <v/>
      </c>
      <c r="C1601" s="50"/>
      <c r="D1601" s="50"/>
      <c r="E1601" s="50"/>
      <c r="F1601" s="50"/>
      <c r="G1601" s="280"/>
      <c r="H1601" s="293"/>
      <c r="I1601" s="292"/>
      <c r="J1601" s="292"/>
      <c r="K1601" s="200"/>
      <c r="L1601" s="200"/>
      <c r="M1601" s="89" t="str">
        <f>IFERROR(VLOOKUP(H1601,Lijsten!$H$1:$I$100,2,0),"")</f>
        <v/>
      </c>
      <c r="N1601" s="89" t="str" cm="1">
        <f t="array" ref="N1601">IFERROR(_xlfn.IFS(AND(LEFT(F1601,6)="Arbeid",RIGHT(F1601,3)&lt;&gt;"IKS"),IFERROR(VLOOKUP($G1601,Tb_KostenTypen[],2,0),"tarief"),RIGHT(F1601,3)="IKS","Uurtarief",LEFT(F1601,6)="Arbeid","Uurtarief",AND(LEFT(F1601,8)="Bijdrage",RIGHT(F1601,15)="(vrijwilligers)"),"Vast tarief"),"")</f>
        <v/>
      </c>
      <c r="O1601" s="90"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0"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1"/>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59"/>
      <c r="Z1601" s="49"/>
      <c r="AA1601" s="37" t="str" cm="1">
        <f t="array" ref="AA1601">IFERROR(IF(INDEX(SubsidieTabel!$Q$1:$T$9,MATCH($F1601,SubsidieTabel!$Q$1:$Q$9,0),IFERROR(MATCH(Methode_Keuze,SubsidieTabel!$Q$1:$T$1,0),2))&lt;&gt;1=TRUE,"ja",""),"")</f>
        <v/>
      </c>
    </row>
    <row r="1602" spans="1:27" ht="15" customHeight="1" x14ac:dyDescent="0.25">
      <c r="A1602" s="85"/>
      <c r="B1602" s="217" t="str">
        <f>IF(A1602&lt;&gt;"",_xlfn.MAXIFS($B$1:B1601,$A$1:A1601,A1602)+1,"")</f>
        <v/>
      </c>
      <c r="C1602" s="50"/>
      <c r="D1602" s="50"/>
      <c r="E1602" s="50"/>
      <c r="F1602" s="50"/>
      <c r="G1602" s="280"/>
      <c r="H1602" s="293"/>
      <c r="I1602" s="292"/>
      <c r="J1602" s="292"/>
      <c r="K1602" s="200"/>
      <c r="L1602" s="200"/>
      <c r="M1602" s="89" t="str">
        <f>IFERROR(VLOOKUP(H1602,Lijsten!$H$1:$I$100,2,0),"")</f>
        <v/>
      </c>
      <c r="N1602" s="89" t="str" cm="1">
        <f t="array" ref="N1602">IFERROR(_xlfn.IFS(AND(LEFT(F1602,6)="Arbeid",RIGHT(F1602,3)&lt;&gt;"IKS"),IFERROR(VLOOKUP($G1602,Tb_KostenTypen[],2,0),"tarief"),RIGHT(F1602,3)="IKS","Uurtarief",LEFT(F1602,6)="Arbeid","Uurtarief",AND(LEFT(F1602,8)="Bijdrage",RIGHT(F1602,15)="(vrijwilligers)"),"Vast tarief"),"")</f>
        <v/>
      </c>
      <c r="O1602" s="90"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0"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1"/>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59"/>
      <c r="Z1602" s="49"/>
      <c r="AA1602" s="37" t="str" cm="1">
        <f t="array" ref="AA1602">IFERROR(IF(INDEX(SubsidieTabel!$Q$1:$T$9,MATCH($F1602,SubsidieTabel!$Q$1:$Q$9,0),IFERROR(MATCH(Methode_Keuze,SubsidieTabel!$Q$1:$T$1,0),2))&lt;&gt;1=TRUE,"ja",""),"")</f>
        <v/>
      </c>
    </row>
    <row r="1603" spans="1:27" ht="15" customHeight="1" x14ac:dyDescent="0.25">
      <c r="A1603" s="85"/>
      <c r="B1603" s="217" t="str">
        <f>IF(A1603&lt;&gt;"",_xlfn.MAXIFS($B$1:B1602,$A$1:A1602,A1603)+1,"")</f>
        <v/>
      </c>
      <c r="C1603" s="50"/>
      <c r="D1603" s="50"/>
      <c r="E1603" s="50"/>
      <c r="F1603" s="50"/>
      <c r="G1603" s="280"/>
      <c r="H1603" s="293"/>
      <c r="I1603" s="292"/>
      <c r="J1603" s="292"/>
      <c r="K1603" s="200"/>
      <c r="L1603" s="200"/>
      <c r="M1603" s="89" t="str">
        <f>IFERROR(VLOOKUP(H1603,Lijsten!$H$1:$I$100,2,0),"")</f>
        <v/>
      </c>
      <c r="N1603" s="89" t="str" cm="1">
        <f t="array" ref="N1603">IFERROR(_xlfn.IFS(AND(LEFT(F1603,6)="Arbeid",RIGHT(F1603,3)&lt;&gt;"IKS"),IFERROR(VLOOKUP($G1603,Tb_KostenTypen[],2,0),"tarief"),RIGHT(F1603,3)="IKS","Uurtarief",LEFT(F1603,6)="Arbeid","Uurtarief",AND(LEFT(F1603,8)="Bijdrage",RIGHT(F1603,15)="(vrijwilligers)"),"Vast tarief"),"")</f>
        <v/>
      </c>
      <c r="O1603" s="90"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0"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1"/>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59"/>
      <c r="Z1603" s="49"/>
      <c r="AA1603" s="37" t="str" cm="1">
        <f t="array" ref="AA1603">IFERROR(IF(INDEX(SubsidieTabel!$Q$1:$T$9,MATCH($F1603,SubsidieTabel!$Q$1:$Q$9,0),IFERROR(MATCH(Methode_Keuze,SubsidieTabel!$Q$1:$T$1,0),2))&lt;&gt;1=TRUE,"ja",""),"")</f>
        <v/>
      </c>
    </row>
    <row r="1604" spans="1:27" ht="15" customHeight="1" x14ac:dyDescent="0.25">
      <c r="A1604" s="85"/>
      <c r="B1604" s="217" t="str">
        <f>IF(A1604&lt;&gt;"",_xlfn.MAXIFS($B$1:B1603,$A$1:A1603,A1604)+1,"")</f>
        <v/>
      </c>
      <c r="C1604" s="50"/>
      <c r="D1604" s="50"/>
      <c r="E1604" s="50"/>
      <c r="F1604" s="50"/>
      <c r="G1604" s="280"/>
      <c r="H1604" s="293"/>
      <c r="I1604" s="292"/>
      <c r="J1604" s="292"/>
      <c r="K1604" s="200"/>
      <c r="L1604" s="200"/>
      <c r="M1604" s="89" t="str">
        <f>IFERROR(VLOOKUP(H1604,Lijsten!$H$1:$I$100,2,0),"")</f>
        <v/>
      </c>
      <c r="N1604" s="89" t="str" cm="1">
        <f t="array" ref="N1604">IFERROR(_xlfn.IFS(AND(LEFT(F1604,6)="Arbeid",RIGHT(F1604,3)&lt;&gt;"IKS"),IFERROR(VLOOKUP($G1604,Tb_KostenTypen[],2,0),"tarief"),RIGHT(F1604,3)="IKS","Uurtarief",LEFT(F1604,6)="Arbeid","Uurtarief",AND(LEFT(F1604,8)="Bijdrage",RIGHT(F1604,15)="(vrijwilligers)"),"Vast tarief"),"")</f>
        <v/>
      </c>
      <c r="O1604" s="90"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0"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1"/>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59"/>
      <c r="Z1604" s="49"/>
      <c r="AA1604" s="37" t="str" cm="1">
        <f t="array" ref="AA1604">IFERROR(IF(INDEX(SubsidieTabel!$Q$1:$T$9,MATCH($F1604,SubsidieTabel!$Q$1:$Q$9,0),IFERROR(MATCH(Methode_Keuze,SubsidieTabel!$Q$1:$T$1,0),2))&lt;&gt;1=TRUE,"ja",""),"")</f>
        <v/>
      </c>
    </row>
    <row r="1605" spans="1:27" ht="15" customHeight="1" x14ac:dyDescent="0.25">
      <c r="A1605" s="85"/>
      <c r="B1605" s="217" t="str">
        <f>IF(A1605&lt;&gt;"",_xlfn.MAXIFS($B$1:B1604,$A$1:A1604,A1605)+1,"")</f>
        <v/>
      </c>
      <c r="C1605" s="50"/>
      <c r="D1605" s="50"/>
      <c r="E1605" s="50"/>
      <c r="F1605" s="50"/>
      <c r="G1605" s="280"/>
      <c r="H1605" s="293"/>
      <c r="I1605" s="292"/>
      <c r="J1605" s="292"/>
      <c r="K1605" s="200"/>
      <c r="L1605" s="200"/>
      <c r="M1605" s="89" t="str">
        <f>IFERROR(VLOOKUP(H1605,Lijsten!$H$1:$I$100,2,0),"")</f>
        <v/>
      </c>
      <c r="N1605" s="89" t="str" cm="1">
        <f t="array" ref="N1605">IFERROR(_xlfn.IFS(AND(LEFT(F1605,6)="Arbeid",RIGHT(F1605,3)&lt;&gt;"IKS"),IFERROR(VLOOKUP($G1605,Tb_KostenTypen[],2,0),"tarief"),RIGHT(F1605,3)="IKS","Uurtarief",LEFT(F1605,6)="Arbeid","Uurtarief",AND(LEFT(F1605,8)="Bijdrage",RIGHT(F1605,15)="(vrijwilligers)"),"Vast tarief"),"")</f>
        <v/>
      </c>
      <c r="O1605" s="90"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0"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1"/>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59"/>
      <c r="Z1605" s="49"/>
      <c r="AA1605" s="37" t="str" cm="1">
        <f t="array" ref="AA1605">IFERROR(IF(INDEX(SubsidieTabel!$Q$1:$T$9,MATCH($F1605,SubsidieTabel!$Q$1:$Q$9,0),IFERROR(MATCH(Methode_Keuze,SubsidieTabel!$Q$1:$T$1,0),2))&lt;&gt;1=TRUE,"ja",""),"")</f>
        <v/>
      </c>
    </row>
    <row r="1606" spans="1:27" ht="15" customHeight="1" x14ac:dyDescent="0.25">
      <c r="A1606" s="85"/>
      <c r="B1606" s="217" t="str">
        <f>IF(A1606&lt;&gt;"",_xlfn.MAXIFS($B$1:B1605,$A$1:A1605,A1606)+1,"")</f>
        <v/>
      </c>
      <c r="C1606" s="50"/>
      <c r="D1606" s="50"/>
      <c r="E1606" s="50"/>
      <c r="F1606" s="50"/>
      <c r="G1606" s="280"/>
      <c r="H1606" s="293"/>
      <c r="I1606" s="292"/>
      <c r="J1606" s="292"/>
      <c r="K1606" s="200"/>
      <c r="L1606" s="200"/>
      <c r="M1606" s="89" t="str">
        <f>IFERROR(VLOOKUP(H1606,Lijsten!$H$1:$I$100,2,0),"")</f>
        <v/>
      </c>
      <c r="N1606" s="89" t="str" cm="1">
        <f t="array" ref="N1606">IFERROR(_xlfn.IFS(AND(LEFT(F1606,6)="Arbeid",RIGHT(F1606,3)&lt;&gt;"IKS"),IFERROR(VLOOKUP($G1606,Tb_KostenTypen[],2,0),"tarief"),RIGHT(F1606,3)="IKS","Uurtarief",LEFT(F1606,6)="Arbeid","Uurtarief",AND(LEFT(F1606,8)="Bijdrage",RIGHT(F1606,15)="(vrijwilligers)"),"Vast tarief"),"")</f>
        <v/>
      </c>
      <c r="O1606" s="90"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0"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1"/>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59"/>
      <c r="Z1606" s="49"/>
      <c r="AA1606" s="37" t="str" cm="1">
        <f t="array" ref="AA1606">IFERROR(IF(INDEX(SubsidieTabel!$Q$1:$T$9,MATCH($F1606,SubsidieTabel!$Q$1:$Q$9,0),IFERROR(MATCH(Methode_Keuze,SubsidieTabel!$Q$1:$T$1,0),2))&lt;&gt;1=TRUE,"ja",""),"")</f>
        <v/>
      </c>
    </row>
    <row r="1607" spans="1:27" ht="15" customHeight="1" x14ac:dyDescent="0.25">
      <c r="A1607" s="85"/>
      <c r="B1607" s="217" t="str">
        <f>IF(A1607&lt;&gt;"",_xlfn.MAXIFS($B$1:B1606,$A$1:A1606,A1607)+1,"")</f>
        <v/>
      </c>
      <c r="C1607" s="50"/>
      <c r="D1607" s="50"/>
      <c r="E1607" s="50"/>
      <c r="F1607" s="50"/>
      <c r="G1607" s="280"/>
      <c r="H1607" s="293"/>
      <c r="I1607" s="292"/>
      <c r="J1607" s="292"/>
      <c r="K1607" s="200"/>
      <c r="L1607" s="200"/>
      <c r="M1607" s="89" t="str">
        <f>IFERROR(VLOOKUP(H1607,Lijsten!$H$1:$I$100,2,0),"")</f>
        <v/>
      </c>
      <c r="N1607" s="89" t="str" cm="1">
        <f t="array" ref="N1607">IFERROR(_xlfn.IFS(AND(LEFT(F1607,6)="Arbeid",RIGHT(F1607,3)&lt;&gt;"IKS"),IFERROR(VLOOKUP($G1607,Tb_KostenTypen[],2,0),"tarief"),RIGHT(F1607,3)="IKS","Uurtarief",LEFT(F1607,6)="Arbeid","Uurtarief",AND(LEFT(F1607,8)="Bijdrage",RIGHT(F1607,15)="(vrijwilligers)"),"Vast tarief"),"")</f>
        <v/>
      </c>
      <c r="O1607" s="90"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0"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1"/>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59"/>
      <c r="Z1607" s="49"/>
      <c r="AA1607" s="37" t="str" cm="1">
        <f t="array" ref="AA1607">IFERROR(IF(INDEX(SubsidieTabel!$Q$1:$T$9,MATCH($F1607,SubsidieTabel!$Q$1:$Q$9,0),IFERROR(MATCH(Methode_Keuze,SubsidieTabel!$Q$1:$T$1,0),2))&lt;&gt;1=TRUE,"ja",""),"")</f>
        <v/>
      </c>
    </row>
    <row r="1608" spans="1:27" ht="15" customHeight="1" x14ac:dyDescent="0.25">
      <c r="A1608" s="85"/>
      <c r="B1608" s="217" t="str">
        <f>IF(A1608&lt;&gt;"",_xlfn.MAXIFS($B$1:B1607,$A$1:A1607,A1608)+1,"")</f>
        <v/>
      </c>
      <c r="C1608" s="50"/>
      <c r="D1608" s="50"/>
      <c r="E1608" s="50"/>
      <c r="F1608" s="50"/>
      <c r="G1608" s="280"/>
      <c r="H1608" s="293"/>
      <c r="I1608" s="292"/>
      <c r="J1608" s="292"/>
      <c r="K1608" s="200"/>
      <c r="L1608" s="200"/>
      <c r="M1608" s="89" t="str">
        <f>IFERROR(VLOOKUP(H1608,Lijsten!$H$1:$I$100,2,0),"")</f>
        <v/>
      </c>
      <c r="N1608" s="89" t="str" cm="1">
        <f t="array" ref="N1608">IFERROR(_xlfn.IFS(AND(LEFT(F1608,6)="Arbeid",RIGHT(F1608,3)&lt;&gt;"IKS"),IFERROR(VLOOKUP($G1608,Tb_KostenTypen[],2,0),"tarief"),RIGHT(F1608,3)="IKS","Uurtarief",LEFT(F1608,6)="Arbeid","Uurtarief",AND(LEFT(F1608,8)="Bijdrage",RIGHT(F1608,15)="(vrijwilligers)"),"Vast tarief"),"")</f>
        <v/>
      </c>
      <c r="O1608" s="90"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0"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1"/>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59"/>
      <c r="Z1608" s="49"/>
      <c r="AA1608" s="37" t="str" cm="1">
        <f t="array" ref="AA1608">IFERROR(IF(INDEX(SubsidieTabel!$Q$1:$T$9,MATCH($F1608,SubsidieTabel!$Q$1:$Q$9,0),IFERROR(MATCH(Methode_Keuze,SubsidieTabel!$Q$1:$T$1,0),2))&lt;&gt;1=TRUE,"ja",""),"")</f>
        <v/>
      </c>
    </row>
    <row r="1609" spans="1:27" ht="15" customHeight="1" x14ac:dyDescent="0.25">
      <c r="A1609" s="85"/>
      <c r="B1609" s="217" t="str">
        <f>IF(A1609&lt;&gt;"",_xlfn.MAXIFS($B$1:B1608,$A$1:A1608,A1609)+1,"")</f>
        <v/>
      </c>
      <c r="C1609" s="50"/>
      <c r="D1609" s="50"/>
      <c r="E1609" s="50"/>
      <c r="F1609" s="50"/>
      <c r="G1609" s="280"/>
      <c r="H1609" s="293"/>
      <c r="I1609" s="292"/>
      <c r="J1609" s="292"/>
      <c r="K1609" s="200"/>
      <c r="L1609" s="200"/>
      <c r="M1609" s="89" t="str">
        <f>IFERROR(VLOOKUP(H1609,Lijsten!$H$1:$I$100,2,0),"")</f>
        <v/>
      </c>
      <c r="N1609" s="89" t="str" cm="1">
        <f t="array" ref="N1609">IFERROR(_xlfn.IFS(AND(LEFT(F1609,6)="Arbeid",RIGHT(F1609,3)&lt;&gt;"IKS"),IFERROR(VLOOKUP($G1609,Tb_KostenTypen[],2,0),"tarief"),RIGHT(F1609,3)="IKS","Uurtarief",LEFT(F1609,6)="Arbeid","Uurtarief",AND(LEFT(F1609,8)="Bijdrage",RIGHT(F1609,15)="(vrijwilligers)"),"Vast tarief"),"")</f>
        <v/>
      </c>
      <c r="O1609" s="90"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0"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1"/>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59"/>
      <c r="Z1609" s="49"/>
      <c r="AA1609" s="37" t="str" cm="1">
        <f t="array" ref="AA1609">IFERROR(IF(INDEX(SubsidieTabel!$Q$1:$T$9,MATCH($F1609,SubsidieTabel!$Q$1:$Q$9,0),IFERROR(MATCH(Methode_Keuze,SubsidieTabel!$Q$1:$T$1,0),2))&lt;&gt;1=TRUE,"ja",""),"")</f>
        <v/>
      </c>
    </row>
    <row r="1610" spans="1:27" ht="15" customHeight="1" x14ac:dyDescent="0.25">
      <c r="A1610" s="85"/>
      <c r="B1610" s="217" t="str">
        <f>IF(A1610&lt;&gt;"",_xlfn.MAXIFS($B$1:B1609,$A$1:A1609,A1610)+1,"")</f>
        <v/>
      </c>
      <c r="C1610" s="50"/>
      <c r="D1610" s="50"/>
      <c r="E1610" s="50"/>
      <c r="F1610" s="50"/>
      <c r="G1610" s="280"/>
      <c r="H1610" s="293"/>
      <c r="I1610" s="292"/>
      <c r="J1610" s="292"/>
      <c r="K1610" s="200"/>
      <c r="L1610" s="200"/>
      <c r="M1610" s="89" t="str">
        <f>IFERROR(VLOOKUP(H1610,Lijsten!$H$1:$I$100,2,0),"")</f>
        <v/>
      </c>
      <c r="N1610" s="89" t="str" cm="1">
        <f t="array" ref="N1610">IFERROR(_xlfn.IFS(AND(LEFT(F1610,6)="Arbeid",RIGHT(F1610,3)&lt;&gt;"IKS"),IFERROR(VLOOKUP($G1610,Tb_KostenTypen[],2,0),"tarief"),RIGHT(F1610,3)="IKS","Uurtarief",LEFT(F1610,6)="Arbeid","Uurtarief",AND(LEFT(F1610,8)="Bijdrage",RIGHT(F1610,15)="(vrijwilligers)"),"Vast tarief"),"")</f>
        <v/>
      </c>
      <c r="O1610" s="90"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0"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1"/>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59"/>
      <c r="Z1610" s="49"/>
      <c r="AA1610" s="37" t="str" cm="1">
        <f t="array" ref="AA1610">IFERROR(IF(INDEX(SubsidieTabel!$Q$1:$T$9,MATCH($F1610,SubsidieTabel!$Q$1:$Q$9,0),IFERROR(MATCH(Methode_Keuze,SubsidieTabel!$Q$1:$T$1,0),2))&lt;&gt;1=TRUE,"ja",""),"")</f>
        <v/>
      </c>
    </row>
    <row r="1611" spans="1:27" ht="15" customHeight="1" x14ac:dyDescent="0.25">
      <c r="A1611" s="85"/>
      <c r="B1611" s="217" t="str">
        <f>IF(A1611&lt;&gt;"",_xlfn.MAXIFS($B$1:B1610,$A$1:A1610,A1611)+1,"")</f>
        <v/>
      </c>
      <c r="C1611" s="50"/>
      <c r="D1611" s="50"/>
      <c r="E1611" s="50"/>
      <c r="F1611" s="50"/>
      <c r="G1611" s="280"/>
      <c r="H1611" s="293"/>
      <c r="I1611" s="292"/>
      <c r="J1611" s="292"/>
      <c r="K1611" s="200"/>
      <c r="L1611" s="200"/>
      <c r="M1611" s="89" t="str">
        <f>IFERROR(VLOOKUP(H1611,Lijsten!$H$1:$I$100,2,0),"")</f>
        <v/>
      </c>
      <c r="N1611" s="89" t="str" cm="1">
        <f t="array" ref="N1611">IFERROR(_xlfn.IFS(AND(LEFT(F1611,6)="Arbeid",RIGHT(F1611,3)&lt;&gt;"IKS"),IFERROR(VLOOKUP($G1611,Tb_KostenTypen[],2,0),"tarief"),RIGHT(F1611,3)="IKS","Uurtarief",LEFT(F1611,6)="Arbeid","Uurtarief",AND(LEFT(F1611,8)="Bijdrage",RIGHT(F1611,15)="(vrijwilligers)"),"Vast tarief"),"")</f>
        <v/>
      </c>
      <c r="O1611" s="90"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0"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1"/>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59"/>
      <c r="Z1611" s="49"/>
      <c r="AA1611" s="37" t="str" cm="1">
        <f t="array" ref="AA1611">IFERROR(IF(INDEX(SubsidieTabel!$Q$1:$T$9,MATCH($F1611,SubsidieTabel!$Q$1:$Q$9,0),IFERROR(MATCH(Methode_Keuze,SubsidieTabel!$Q$1:$T$1,0),2))&lt;&gt;1=TRUE,"ja",""),"")</f>
        <v/>
      </c>
    </row>
    <row r="1612" spans="1:27" ht="15" customHeight="1" x14ac:dyDescent="0.25">
      <c r="A1612" s="85"/>
      <c r="B1612" s="217" t="str">
        <f>IF(A1612&lt;&gt;"",_xlfn.MAXIFS($B$1:B1611,$A$1:A1611,A1612)+1,"")</f>
        <v/>
      </c>
      <c r="C1612" s="50"/>
      <c r="D1612" s="50"/>
      <c r="E1612" s="50"/>
      <c r="F1612" s="50"/>
      <c r="G1612" s="280"/>
      <c r="H1612" s="293"/>
      <c r="I1612" s="292"/>
      <c r="J1612" s="292"/>
      <c r="K1612" s="200"/>
      <c r="L1612" s="200"/>
      <c r="M1612" s="89" t="str">
        <f>IFERROR(VLOOKUP(H1612,Lijsten!$H$1:$I$100,2,0),"")</f>
        <v/>
      </c>
      <c r="N1612" s="89" t="str" cm="1">
        <f t="array" ref="N1612">IFERROR(_xlfn.IFS(AND(LEFT(F1612,6)="Arbeid",RIGHT(F1612,3)&lt;&gt;"IKS"),IFERROR(VLOOKUP($G1612,Tb_KostenTypen[],2,0),"tarief"),RIGHT(F1612,3)="IKS","Uurtarief",LEFT(F1612,6)="Arbeid","Uurtarief",AND(LEFT(F1612,8)="Bijdrage",RIGHT(F1612,15)="(vrijwilligers)"),"Vast tarief"),"")</f>
        <v/>
      </c>
      <c r="O1612" s="90"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0"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1"/>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59"/>
      <c r="Z1612" s="49"/>
      <c r="AA1612" s="37" t="str" cm="1">
        <f t="array" ref="AA1612">IFERROR(IF(INDEX(SubsidieTabel!$Q$1:$T$9,MATCH($F1612,SubsidieTabel!$Q$1:$Q$9,0),IFERROR(MATCH(Methode_Keuze,SubsidieTabel!$Q$1:$T$1,0),2))&lt;&gt;1=TRUE,"ja",""),"")</f>
        <v/>
      </c>
    </row>
    <row r="1613" spans="1:27" ht="15" customHeight="1" x14ac:dyDescent="0.25">
      <c r="A1613" s="85"/>
      <c r="B1613" s="217" t="str">
        <f>IF(A1613&lt;&gt;"",_xlfn.MAXIFS($B$1:B1612,$A$1:A1612,A1613)+1,"")</f>
        <v/>
      </c>
      <c r="C1613" s="50"/>
      <c r="D1613" s="50"/>
      <c r="E1613" s="50"/>
      <c r="F1613" s="50"/>
      <c r="G1613" s="280"/>
      <c r="H1613" s="293"/>
      <c r="I1613" s="292"/>
      <c r="J1613" s="292"/>
      <c r="K1613" s="200"/>
      <c r="L1613" s="200"/>
      <c r="M1613" s="89" t="str">
        <f>IFERROR(VLOOKUP(H1613,Lijsten!$H$1:$I$100,2,0),"")</f>
        <v/>
      </c>
      <c r="N1613" s="89" t="str" cm="1">
        <f t="array" ref="N1613">IFERROR(_xlfn.IFS(AND(LEFT(F1613,6)="Arbeid",RIGHT(F1613,3)&lt;&gt;"IKS"),IFERROR(VLOOKUP($G1613,Tb_KostenTypen[],2,0),"tarief"),RIGHT(F1613,3)="IKS","Uurtarief",LEFT(F1613,6)="Arbeid","Uurtarief",AND(LEFT(F1613,8)="Bijdrage",RIGHT(F1613,15)="(vrijwilligers)"),"Vast tarief"),"")</f>
        <v/>
      </c>
      <c r="O1613" s="90"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0"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1"/>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59"/>
      <c r="Z1613" s="49"/>
      <c r="AA1613" s="37" t="str" cm="1">
        <f t="array" ref="AA1613">IFERROR(IF(INDEX(SubsidieTabel!$Q$1:$T$9,MATCH($F1613,SubsidieTabel!$Q$1:$Q$9,0),IFERROR(MATCH(Methode_Keuze,SubsidieTabel!$Q$1:$T$1,0),2))&lt;&gt;1=TRUE,"ja",""),"")</f>
        <v/>
      </c>
    </row>
    <row r="1614" spans="1:27" ht="15" customHeight="1" x14ac:dyDescent="0.25">
      <c r="A1614" s="85"/>
      <c r="B1614" s="217" t="str">
        <f>IF(A1614&lt;&gt;"",_xlfn.MAXIFS($B$1:B1613,$A$1:A1613,A1614)+1,"")</f>
        <v/>
      </c>
      <c r="C1614" s="50"/>
      <c r="D1614" s="50"/>
      <c r="E1614" s="50"/>
      <c r="F1614" s="50"/>
      <c r="G1614" s="280"/>
      <c r="H1614" s="293"/>
      <c r="I1614" s="292"/>
      <c r="J1614" s="292"/>
      <c r="K1614" s="200"/>
      <c r="L1614" s="200"/>
      <c r="M1614" s="89" t="str">
        <f>IFERROR(VLOOKUP(H1614,Lijsten!$H$1:$I$100,2,0),"")</f>
        <v/>
      </c>
      <c r="N1614" s="89" t="str" cm="1">
        <f t="array" ref="N1614">IFERROR(_xlfn.IFS(AND(LEFT(F1614,6)="Arbeid",RIGHT(F1614,3)&lt;&gt;"IKS"),IFERROR(VLOOKUP($G1614,Tb_KostenTypen[],2,0),"tarief"),RIGHT(F1614,3)="IKS","Uurtarief",LEFT(F1614,6)="Arbeid","Uurtarief",AND(LEFT(F1614,8)="Bijdrage",RIGHT(F1614,15)="(vrijwilligers)"),"Vast tarief"),"")</f>
        <v/>
      </c>
      <c r="O1614" s="90"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0"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1"/>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59"/>
      <c r="Z1614" s="49"/>
      <c r="AA1614" s="37" t="str" cm="1">
        <f t="array" ref="AA1614">IFERROR(IF(INDEX(SubsidieTabel!$Q$1:$T$9,MATCH($F1614,SubsidieTabel!$Q$1:$Q$9,0),IFERROR(MATCH(Methode_Keuze,SubsidieTabel!$Q$1:$T$1,0),2))&lt;&gt;1=TRUE,"ja",""),"")</f>
        <v/>
      </c>
    </row>
    <row r="1615" spans="1:27" ht="15" customHeight="1" x14ac:dyDescent="0.25">
      <c r="A1615" s="85"/>
      <c r="B1615" s="217" t="str">
        <f>IF(A1615&lt;&gt;"",_xlfn.MAXIFS($B$1:B1614,$A$1:A1614,A1615)+1,"")</f>
        <v/>
      </c>
      <c r="C1615" s="50"/>
      <c r="D1615" s="50"/>
      <c r="E1615" s="50"/>
      <c r="F1615" s="50"/>
      <c r="G1615" s="280"/>
      <c r="H1615" s="293"/>
      <c r="I1615" s="292"/>
      <c r="J1615" s="292"/>
      <c r="K1615" s="200"/>
      <c r="L1615" s="200"/>
      <c r="M1615" s="89" t="str">
        <f>IFERROR(VLOOKUP(H1615,Lijsten!$H$1:$I$100,2,0),"")</f>
        <v/>
      </c>
      <c r="N1615" s="89" t="str" cm="1">
        <f t="array" ref="N1615">IFERROR(_xlfn.IFS(AND(LEFT(F1615,6)="Arbeid",RIGHT(F1615,3)&lt;&gt;"IKS"),IFERROR(VLOOKUP($G1615,Tb_KostenTypen[],2,0),"tarief"),RIGHT(F1615,3)="IKS","Uurtarief",LEFT(F1615,6)="Arbeid","Uurtarief",AND(LEFT(F1615,8)="Bijdrage",RIGHT(F1615,15)="(vrijwilligers)"),"Vast tarief"),"")</f>
        <v/>
      </c>
      <c r="O1615" s="90"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0"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1"/>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59"/>
      <c r="Z1615" s="49"/>
      <c r="AA1615" s="37" t="str" cm="1">
        <f t="array" ref="AA1615">IFERROR(IF(INDEX(SubsidieTabel!$Q$1:$T$9,MATCH($F1615,SubsidieTabel!$Q$1:$Q$9,0),IFERROR(MATCH(Methode_Keuze,SubsidieTabel!$Q$1:$T$1,0),2))&lt;&gt;1=TRUE,"ja",""),"")</f>
        <v/>
      </c>
    </row>
    <row r="1616" spans="1:27" ht="15" customHeight="1" x14ac:dyDescent="0.25">
      <c r="A1616" s="85"/>
      <c r="B1616" s="217" t="str">
        <f>IF(A1616&lt;&gt;"",_xlfn.MAXIFS($B$1:B1615,$A$1:A1615,A1616)+1,"")</f>
        <v/>
      </c>
      <c r="C1616" s="50"/>
      <c r="D1616" s="50"/>
      <c r="E1616" s="50"/>
      <c r="F1616" s="50"/>
      <c r="G1616" s="280"/>
      <c r="H1616" s="293"/>
      <c r="I1616" s="292"/>
      <c r="J1616" s="292"/>
      <c r="K1616" s="200"/>
      <c r="L1616" s="200"/>
      <c r="M1616" s="89" t="str">
        <f>IFERROR(VLOOKUP(H1616,Lijsten!$H$1:$I$100,2,0),"")</f>
        <v/>
      </c>
      <c r="N1616" s="89" t="str" cm="1">
        <f t="array" ref="N1616">IFERROR(_xlfn.IFS(AND(LEFT(F1616,6)="Arbeid",RIGHT(F1616,3)&lt;&gt;"IKS"),IFERROR(VLOOKUP($G1616,Tb_KostenTypen[],2,0),"tarief"),RIGHT(F1616,3)="IKS","Uurtarief",LEFT(F1616,6)="Arbeid","Uurtarief",AND(LEFT(F1616,8)="Bijdrage",RIGHT(F1616,15)="(vrijwilligers)"),"Vast tarief"),"")</f>
        <v/>
      </c>
      <c r="O1616" s="90"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0"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1"/>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59"/>
      <c r="Z1616" s="49"/>
      <c r="AA1616" s="37" t="str" cm="1">
        <f t="array" ref="AA1616">IFERROR(IF(INDEX(SubsidieTabel!$Q$1:$T$9,MATCH($F1616,SubsidieTabel!$Q$1:$Q$9,0),IFERROR(MATCH(Methode_Keuze,SubsidieTabel!$Q$1:$T$1,0),2))&lt;&gt;1=TRUE,"ja",""),"")</f>
        <v/>
      </c>
    </row>
    <row r="1617" spans="1:27" ht="15" customHeight="1" x14ac:dyDescent="0.25">
      <c r="A1617" s="85"/>
      <c r="B1617" s="217" t="str">
        <f>IF(A1617&lt;&gt;"",_xlfn.MAXIFS($B$1:B1616,$A$1:A1616,A1617)+1,"")</f>
        <v/>
      </c>
      <c r="C1617" s="50"/>
      <c r="D1617" s="50"/>
      <c r="E1617" s="50"/>
      <c r="F1617" s="50"/>
      <c r="G1617" s="280"/>
      <c r="H1617" s="293"/>
      <c r="I1617" s="292"/>
      <c r="J1617" s="292"/>
      <c r="K1617" s="200"/>
      <c r="L1617" s="200"/>
      <c r="M1617" s="89" t="str">
        <f>IFERROR(VLOOKUP(H1617,Lijsten!$H$1:$I$100,2,0),"")</f>
        <v/>
      </c>
      <c r="N1617" s="89" t="str" cm="1">
        <f t="array" ref="N1617">IFERROR(_xlfn.IFS(AND(LEFT(F1617,6)="Arbeid",RIGHT(F1617,3)&lt;&gt;"IKS"),IFERROR(VLOOKUP($G1617,Tb_KostenTypen[],2,0),"tarief"),RIGHT(F1617,3)="IKS","Uurtarief",LEFT(F1617,6)="Arbeid","Uurtarief",AND(LEFT(F1617,8)="Bijdrage",RIGHT(F1617,15)="(vrijwilligers)"),"Vast tarief"),"")</f>
        <v/>
      </c>
      <c r="O1617" s="90"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0"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1"/>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59"/>
      <c r="Z1617" s="49"/>
      <c r="AA1617" s="37" t="str" cm="1">
        <f t="array" ref="AA1617">IFERROR(IF(INDEX(SubsidieTabel!$Q$1:$T$9,MATCH($F1617,SubsidieTabel!$Q$1:$Q$9,0),IFERROR(MATCH(Methode_Keuze,SubsidieTabel!$Q$1:$T$1,0),2))&lt;&gt;1=TRUE,"ja",""),"")</f>
        <v/>
      </c>
    </row>
    <row r="1618" spans="1:27" ht="15" customHeight="1" x14ac:dyDescent="0.25">
      <c r="A1618" s="85"/>
      <c r="B1618" s="217" t="str">
        <f>IF(A1618&lt;&gt;"",_xlfn.MAXIFS($B$1:B1617,$A$1:A1617,A1618)+1,"")</f>
        <v/>
      </c>
      <c r="C1618" s="50"/>
      <c r="D1618" s="50"/>
      <c r="E1618" s="50"/>
      <c r="F1618" s="50"/>
      <c r="G1618" s="280"/>
      <c r="H1618" s="293"/>
      <c r="I1618" s="292"/>
      <c r="J1618" s="292"/>
      <c r="K1618" s="200"/>
      <c r="L1618" s="200"/>
      <c r="M1618" s="89" t="str">
        <f>IFERROR(VLOOKUP(H1618,Lijsten!$H$1:$I$100,2,0),"")</f>
        <v/>
      </c>
      <c r="N1618" s="89" t="str" cm="1">
        <f t="array" ref="N1618">IFERROR(_xlfn.IFS(AND(LEFT(F1618,6)="Arbeid",RIGHT(F1618,3)&lt;&gt;"IKS"),IFERROR(VLOOKUP($G1618,Tb_KostenTypen[],2,0),"tarief"),RIGHT(F1618,3)="IKS","Uurtarief",LEFT(F1618,6)="Arbeid","Uurtarief",AND(LEFT(F1618,8)="Bijdrage",RIGHT(F1618,15)="(vrijwilligers)"),"Vast tarief"),"")</f>
        <v/>
      </c>
      <c r="O1618" s="90"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0"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1"/>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59"/>
      <c r="Z1618" s="49"/>
      <c r="AA1618" s="37" t="str" cm="1">
        <f t="array" ref="AA1618">IFERROR(IF(INDEX(SubsidieTabel!$Q$1:$T$9,MATCH($F1618,SubsidieTabel!$Q$1:$Q$9,0),IFERROR(MATCH(Methode_Keuze,SubsidieTabel!$Q$1:$T$1,0),2))&lt;&gt;1=TRUE,"ja",""),"")</f>
        <v/>
      </c>
    </row>
    <row r="1619" spans="1:27" ht="15" customHeight="1" x14ac:dyDescent="0.25">
      <c r="A1619" s="85"/>
      <c r="B1619" s="217" t="str">
        <f>IF(A1619&lt;&gt;"",_xlfn.MAXIFS($B$1:B1618,$A$1:A1618,A1619)+1,"")</f>
        <v/>
      </c>
      <c r="C1619" s="50"/>
      <c r="D1619" s="50"/>
      <c r="E1619" s="50"/>
      <c r="F1619" s="50"/>
      <c r="G1619" s="280"/>
      <c r="H1619" s="293"/>
      <c r="I1619" s="292"/>
      <c r="J1619" s="292"/>
      <c r="K1619" s="200"/>
      <c r="L1619" s="200"/>
      <c r="M1619" s="89" t="str">
        <f>IFERROR(VLOOKUP(H1619,Lijsten!$H$1:$I$100,2,0),"")</f>
        <v/>
      </c>
      <c r="N1619" s="89" t="str" cm="1">
        <f t="array" ref="N1619">IFERROR(_xlfn.IFS(AND(LEFT(F1619,6)="Arbeid",RIGHT(F1619,3)&lt;&gt;"IKS"),IFERROR(VLOOKUP($G1619,Tb_KostenTypen[],2,0),"tarief"),RIGHT(F1619,3)="IKS","Uurtarief",LEFT(F1619,6)="Arbeid","Uurtarief",AND(LEFT(F1619,8)="Bijdrage",RIGHT(F1619,15)="(vrijwilligers)"),"Vast tarief"),"")</f>
        <v/>
      </c>
      <c r="O1619" s="90"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0"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1"/>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59"/>
      <c r="Z1619" s="49"/>
      <c r="AA1619" s="37" t="str" cm="1">
        <f t="array" ref="AA1619">IFERROR(IF(INDEX(SubsidieTabel!$Q$1:$T$9,MATCH($F1619,SubsidieTabel!$Q$1:$Q$9,0),IFERROR(MATCH(Methode_Keuze,SubsidieTabel!$Q$1:$T$1,0),2))&lt;&gt;1=TRUE,"ja",""),"")</f>
        <v/>
      </c>
    </row>
    <row r="1620" spans="1:27" ht="15" customHeight="1" x14ac:dyDescent="0.25">
      <c r="A1620" s="85"/>
      <c r="B1620" s="217" t="str">
        <f>IF(A1620&lt;&gt;"",_xlfn.MAXIFS($B$1:B1619,$A$1:A1619,A1620)+1,"")</f>
        <v/>
      </c>
      <c r="C1620" s="50"/>
      <c r="D1620" s="50"/>
      <c r="E1620" s="50"/>
      <c r="F1620" s="50"/>
      <c r="G1620" s="280"/>
      <c r="H1620" s="293"/>
      <c r="I1620" s="292"/>
      <c r="J1620" s="292"/>
      <c r="K1620" s="200"/>
      <c r="L1620" s="200"/>
      <c r="M1620" s="89" t="str">
        <f>IFERROR(VLOOKUP(H1620,Lijsten!$H$1:$I$100,2,0),"")</f>
        <v/>
      </c>
      <c r="N1620" s="89" t="str" cm="1">
        <f t="array" ref="N1620">IFERROR(_xlfn.IFS(AND(LEFT(F1620,6)="Arbeid",RIGHT(F1620,3)&lt;&gt;"IKS"),IFERROR(VLOOKUP($G1620,Tb_KostenTypen[],2,0),"tarief"),RIGHT(F1620,3)="IKS","Uurtarief",LEFT(F1620,6)="Arbeid","Uurtarief",AND(LEFT(F1620,8)="Bijdrage",RIGHT(F1620,15)="(vrijwilligers)"),"Vast tarief"),"")</f>
        <v/>
      </c>
      <c r="O1620" s="90"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0"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1"/>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59"/>
      <c r="Z1620" s="49"/>
      <c r="AA1620" s="37" t="str" cm="1">
        <f t="array" ref="AA1620">IFERROR(IF(INDEX(SubsidieTabel!$Q$1:$T$9,MATCH($F1620,SubsidieTabel!$Q$1:$Q$9,0),IFERROR(MATCH(Methode_Keuze,SubsidieTabel!$Q$1:$T$1,0),2))&lt;&gt;1=TRUE,"ja",""),"")</f>
        <v/>
      </c>
    </row>
    <row r="1621" spans="1:27" ht="15" customHeight="1" x14ac:dyDescent="0.25">
      <c r="A1621" s="85"/>
      <c r="B1621" s="217" t="str">
        <f>IF(A1621&lt;&gt;"",_xlfn.MAXIFS($B$1:B1620,$A$1:A1620,A1621)+1,"")</f>
        <v/>
      </c>
      <c r="C1621" s="50"/>
      <c r="D1621" s="50"/>
      <c r="E1621" s="50"/>
      <c r="F1621" s="50"/>
      <c r="G1621" s="280"/>
      <c r="H1621" s="293"/>
      <c r="I1621" s="292"/>
      <c r="J1621" s="292"/>
      <c r="K1621" s="200"/>
      <c r="L1621" s="200"/>
      <c r="M1621" s="89" t="str">
        <f>IFERROR(VLOOKUP(H1621,Lijsten!$H$1:$I$100,2,0),"")</f>
        <v/>
      </c>
      <c r="N1621" s="89" t="str" cm="1">
        <f t="array" ref="N1621">IFERROR(_xlfn.IFS(AND(LEFT(F1621,6)="Arbeid",RIGHT(F1621,3)&lt;&gt;"IKS"),IFERROR(VLOOKUP($G1621,Tb_KostenTypen[],2,0),"tarief"),RIGHT(F1621,3)="IKS","Uurtarief",LEFT(F1621,6)="Arbeid","Uurtarief",AND(LEFT(F1621,8)="Bijdrage",RIGHT(F1621,15)="(vrijwilligers)"),"Vast tarief"),"")</f>
        <v/>
      </c>
      <c r="O1621" s="90"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0"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1"/>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59"/>
      <c r="Z1621" s="49"/>
      <c r="AA1621" s="37" t="str" cm="1">
        <f t="array" ref="AA1621">IFERROR(IF(INDEX(SubsidieTabel!$Q$1:$T$9,MATCH($F1621,SubsidieTabel!$Q$1:$Q$9,0),IFERROR(MATCH(Methode_Keuze,SubsidieTabel!$Q$1:$T$1,0),2))&lt;&gt;1=TRUE,"ja",""),"")</f>
        <v/>
      </c>
    </row>
    <row r="1622" spans="1:27" ht="15" customHeight="1" x14ac:dyDescent="0.25">
      <c r="A1622" s="85"/>
      <c r="B1622" s="217" t="str">
        <f>IF(A1622&lt;&gt;"",_xlfn.MAXIFS($B$1:B1621,$A$1:A1621,A1622)+1,"")</f>
        <v/>
      </c>
      <c r="C1622" s="50"/>
      <c r="D1622" s="50"/>
      <c r="E1622" s="50"/>
      <c r="F1622" s="50"/>
      <c r="G1622" s="280"/>
      <c r="H1622" s="293"/>
      <c r="I1622" s="292"/>
      <c r="J1622" s="292"/>
      <c r="K1622" s="200"/>
      <c r="L1622" s="200"/>
      <c r="M1622" s="89" t="str">
        <f>IFERROR(VLOOKUP(H1622,Lijsten!$H$1:$I$100,2,0),"")</f>
        <v/>
      </c>
      <c r="N1622" s="89" t="str" cm="1">
        <f t="array" ref="N1622">IFERROR(_xlfn.IFS(AND(LEFT(F1622,6)="Arbeid",RIGHT(F1622,3)&lt;&gt;"IKS"),IFERROR(VLOOKUP($G1622,Tb_KostenTypen[],2,0),"tarief"),RIGHT(F1622,3)="IKS","Uurtarief",LEFT(F1622,6)="Arbeid","Uurtarief",AND(LEFT(F1622,8)="Bijdrage",RIGHT(F1622,15)="(vrijwilligers)"),"Vast tarief"),"")</f>
        <v/>
      </c>
      <c r="O1622" s="90"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0"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1"/>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59"/>
      <c r="Z1622" s="49"/>
      <c r="AA1622" s="37" t="str" cm="1">
        <f t="array" ref="AA1622">IFERROR(IF(INDEX(SubsidieTabel!$Q$1:$T$9,MATCH($F1622,SubsidieTabel!$Q$1:$Q$9,0),IFERROR(MATCH(Methode_Keuze,SubsidieTabel!$Q$1:$T$1,0),2))&lt;&gt;1=TRUE,"ja",""),"")</f>
        <v/>
      </c>
    </row>
    <row r="1623" spans="1:27" ht="15" customHeight="1" x14ac:dyDescent="0.25">
      <c r="A1623" s="85"/>
      <c r="B1623" s="217" t="str">
        <f>IF(A1623&lt;&gt;"",_xlfn.MAXIFS($B$1:B1622,$A$1:A1622,A1623)+1,"")</f>
        <v/>
      </c>
      <c r="C1623" s="50"/>
      <c r="D1623" s="50"/>
      <c r="E1623" s="50"/>
      <c r="F1623" s="50"/>
      <c r="G1623" s="280"/>
      <c r="H1623" s="293"/>
      <c r="I1623" s="292"/>
      <c r="J1623" s="292"/>
      <c r="K1623" s="200"/>
      <c r="L1623" s="200"/>
      <c r="M1623" s="89" t="str">
        <f>IFERROR(VLOOKUP(H1623,Lijsten!$H$1:$I$100,2,0),"")</f>
        <v/>
      </c>
      <c r="N1623" s="89" t="str" cm="1">
        <f t="array" ref="N1623">IFERROR(_xlfn.IFS(AND(LEFT(F1623,6)="Arbeid",RIGHT(F1623,3)&lt;&gt;"IKS"),IFERROR(VLOOKUP($G1623,Tb_KostenTypen[],2,0),"tarief"),RIGHT(F1623,3)="IKS","Uurtarief",LEFT(F1623,6)="Arbeid","Uurtarief",AND(LEFT(F1623,8)="Bijdrage",RIGHT(F1623,15)="(vrijwilligers)"),"Vast tarief"),"")</f>
        <v/>
      </c>
      <c r="O1623" s="90"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0"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1"/>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59"/>
      <c r="Z1623" s="49"/>
      <c r="AA1623" s="37" t="str" cm="1">
        <f t="array" ref="AA1623">IFERROR(IF(INDEX(SubsidieTabel!$Q$1:$T$9,MATCH($F1623,SubsidieTabel!$Q$1:$Q$9,0),IFERROR(MATCH(Methode_Keuze,SubsidieTabel!$Q$1:$T$1,0),2))&lt;&gt;1=TRUE,"ja",""),"")</f>
        <v/>
      </c>
    </row>
    <row r="1624" spans="1:27" ht="15" customHeight="1" x14ac:dyDescent="0.25">
      <c r="A1624" s="85"/>
      <c r="B1624" s="217" t="str">
        <f>IF(A1624&lt;&gt;"",_xlfn.MAXIFS($B$1:B1623,$A$1:A1623,A1624)+1,"")</f>
        <v/>
      </c>
      <c r="C1624" s="50"/>
      <c r="D1624" s="50"/>
      <c r="E1624" s="50"/>
      <c r="F1624" s="50"/>
      <c r="G1624" s="280"/>
      <c r="H1624" s="293"/>
      <c r="I1624" s="292"/>
      <c r="J1624" s="292"/>
      <c r="K1624" s="200"/>
      <c r="L1624" s="200"/>
      <c r="M1624" s="89" t="str">
        <f>IFERROR(VLOOKUP(H1624,Lijsten!$H$1:$I$100,2,0),"")</f>
        <v/>
      </c>
      <c r="N1624" s="89" t="str" cm="1">
        <f t="array" ref="N1624">IFERROR(_xlfn.IFS(AND(LEFT(F1624,6)="Arbeid",RIGHT(F1624,3)&lt;&gt;"IKS"),IFERROR(VLOOKUP($G1624,Tb_KostenTypen[],2,0),"tarief"),RIGHT(F1624,3)="IKS","Uurtarief",LEFT(F1624,6)="Arbeid","Uurtarief",AND(LEFT(F1624,8)="Bijdrage",RIGHT(F1624,15)="(vrijwilligers)"),"Vast tarief"),"")</f>
        <v/>
      </c>
      <c r="O1624" s="90"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0"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1"/>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59"/>
      <c r="Z1624" s="49"/>
      <c r="AA1624" s="37" t="str" cm="1">
        <f t="array" ref="AA1624">IFERROR(IF(INDEX(SubsidieTabel!$Q$1:$T$9,MATCH($F1624,SubsidieTabel!$Q$1:$Q$9,0),IFERROR(MATCH(Methode_Keuze,SubsidieTabel!$Q$1:$T$1,0),2))&lt;&gt;1=TRUE,"ja",""),"")</f>
        <v/>
      </c>
    </row>
    <row r="1625" spans="1:27" ht="15" customHeight="1" x14ac:dyDescent="0.25">
      <c r="A1625" s="85"/>
      <c r="B1625" s="217" t="str">
        <f>IF(A1625&lt;&gt;"",_xlfn.MAXIFS($B$1:B1624,$A$1:A1624,A1625)+1,"")</f>
        <v/>
      </c>
      <c r="C1625" s="50"/>
      <c r="D1625" s="50"/>
      <c r="E1625" s="50"/>
      <c r="F1625" s="50"/>
      <c r="G1625" s="280"/>
      <c r="H1625" s="293"/>
      <c r="I1625" s="292"/>
      <c r="J1625" s="292"/>
      <c r="K1625" s="200"/>
      <c r="L1625" s="200"/>
      <c r="M1625" s="89" t="str">
        <f>IFERROR(VLOOKUP(H1625,Lijsten!$H$1:$I$100,2,0),"")</f>
        <v/>
      </c>
      <c r="N1625" s="89" t="str" cm="1">
        <f t="array" ref="N1625">IFERROR(_xlfn.IFS(AND(LEFT(F1625,6)="Arbeid",RIGHT(F1625,3)&lt;&gt;"IKS"),IFERROR(VLOOKUP($G1625,Tb_KostenTypen[],2,0),"tarief"),RIGHT(F1625,3)="IKS","Uurtarief",LEFT(F1625,6)="Arbeid","Uurtarief",AND(LEFT(F1625,8)="Bijdrage",RIGHT(F1625,15)="(vrijwilligers)"),"Vast tarief"),"")</f>
        <v/>
      </c>
      <c r="O1625" s="90"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0"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1"/>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59"/>
      <c r="Z1625" s="49"/>
      <c r="AA1625" s="37" t="str" cm="1">
        <f t="array" ref="AA1625">IFERROR(IF(INDEX(SubsidieTabel!$Q$1:$T$9,MATCH($F1625,SubsidieTabel!$Q$1:$Q$9,0),IFERROR(MATCH(Methode_Keuze,SubsidieTabel!$Q$1:$T$1,0),2))&lt;&gt;1=TRUE,"ja",""),"")</f>
        <v/>
      </c>
    </row>
    <row r="1626" spans="1:27" ht="15" customHeight="1" x14ac:dyDescent="0.25">
      <c r="A1626" s="85"/>
      <c r="B1626" s="217" t="str">
        <f>IF(A1626&lt;&gt;"",_xlfn.MAXIFS($B$1:B1625,$A$1:A1625,A1626)+1,"")</f>
        <v/>
      </c>
      <c r="C1626" s="50"/>
      <c r="D1626" s="50"/>
      <c r="E1626" s="50"/>
      <c r="F1626" s="50"/>
      <c r="G1626" s="280"/>
      <c r="H1626" s="293"/>
      <c r="I1626" s="292"/>
      <c r="J1626" s="292"/>
      <c r="K1626" s="200"/>
      <c r="L1626" s="200"/>
      <c r="M1626" s="89" t="str">
        <f>IFERROR(VLOOKUP(H1626,Lijsten!$H$1:$I$100,2,0),"")</f>
        <v/>
      </c>
      <c r="N1626" s="89" t="str" cm="1">
        <f t="array" ref="N1626">IFERROR(_xlfn.IFS(AND(LEFT(F1626,6)="Arbeid",RIGHT(F1626,3)&lt;&gt;"IKS"),IFERROR(VLOOKUP($G1626,Tb_KostenTypen[],2,0),"tarief"),RIGHT(F1626,3)="IKS","Uurtarief",LEFT(F1626,6)="Arbeid","Uurtarief",AND(LEFT(F1626,8)="Bijdrage",RIGHT(F1626,15)="(vrijwilligers)"),"Vast tarief"),"")</f>
        <v/>
      </c>
      <c r="O1626" s="90"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0"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1"/>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59"/>
      <c r="Z1626" s="49"/>
      <c r="AA1626" s="37" t="str" cm="1">
        <f t="array" ref="AA1626">IFERROR(IF(INDEX(SubsidieTabel!$Q$1:$T$9,MATCH($F1626,SubsidieTabel!$Q$1:$Q$9,0),IFERROR(MATCH(Methode_Keuze,SubsidieTabel!$Q$1:$T$1,0),2))&lt;&gt;1=TRUE,"ja",""),"")</f>
        <v/>
      </c>
    </row>
    <row r="1627" spans="1:27" ht="15" customHeight="1" x14ac:dyDescent="0.25">
      <c r="A1627" s="85"/>
      <c r="B1627" s="217" t="str">
        <f>IF(A1627&lt;&gt;"",_xlfn.MAXIFS($B$1:B1626,$A$1:A1626,A1627)+1,"")</f>
        <v/>
      </c>
      <c r="C1627" s="50"/>
      <c r="D1627" s="50"/>
      <c r="E1627" s="50"/>
      <c r="F1627" s="50"/>
      <c r="G1627" s="280"/>
      <c r="H1627" s="293"/>
      <c r="I1627" s="292"/>
      <c r="J1627" s="292"/>
      <c r="K1627" s="200"/>
      <c r="L1627" s="200"/>
      <c r="M1627" s="89" t="str">
        <f>IFERROR(VLOOKUP(H1627,Lijsten!$H$1:$I$100,2,0),"")</f>
        <v/>
      </c>
      <c r="N1627" s="89" t="str" cm="1">
        <f t="array" ref="N1627">IFERROR(_xlfn.IFS(AND(LEFT(F1627,6)="Arbeid",RIGHT(F1627,3)&lt;&gt;"IKS"),IFERROR(VLOOKUP($G1627,Tb_KostenTypen[],2,0),"tarief"),RIGHT(F1627,3)="IKS","Uurtarief",LEFT(F1627,6)="Arbeid","Uurtarief",AND(LEFT(F1627,8)="Bijdrage",RIGHT(F1627,15)="(vrijwilligers)"),"Vast tarief"),"")</f>
        <v/>
      </c>
      <c r="O1627" s="90"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0"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1"/>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59"/>
      <c r="Z1627" s="49"/>
      <c r="AA1627" s="37" t="str" cm="1">
        <f t="array" ref="AA1627">IFERROR(IF(INDEX(SubsidieTabel!$Q$1:$T$9,MATCH($F1627,SubsidieTabel!$Q$1:$Q$9,0),IFERROR(MATCH(Methode_Keuze,SubsidieTabel!$Q$1:$T$1,0),2))&lt;&gt;1=TRUE,"ja",""),"")</f>
        <v/>
      </c>
    </row>
    <row r="1628" spans="1:27" ht="15" customHeight="1" x14ac:dyDescent="0.25">
      <c r="A1628" s="85"/>
      <c r="B1628" s="217" t="str">
        <f>IF(A1628&lt;&gt;"",_xlfn.MAXIFS($B$1:B1627,$A$1:A1627,A1628)+1,"")</f>
        <v/>
      </c>
      <c r="C1628" s="50"/>
      <c r="D1628" s="50"/>
      <c r="E1628" s="50"/>
      <c r="F1628" s="50"/>
      <c r="G1628" s="280"/>
      <c r="H1628" s="293"/>
      <c r="I1628" s="292"/>
      <c r="J1628" s="292"/>
      <c r="K1628" s="200"/>
      <c r="L1628" s="200"/>
      <c r="M1628" s="89" t="str">
        <f>IFERROR(VLOOKUP(H1628,Lijsten!$H$1:$I$100,2,0),"")</f>
        <v/>
      </c>
      <c r="N1628" s="89" t="str" cm="1">
        <f t="array" ref="N1628">IFERROR(_xlfn.IFS(AND(LEFT(F1628,6)="Arbeid",RIGHT(F1628,3)&lt;&gt;"IKS"),IFERROR(VLOOKUP($G1628,Tb_KostenTypen[],2,0),"tarief"),RIGHT(F1628,3)="IKS","Uurtarief",LEFT(F1628,6)="Arbeid","Uurtarief",AND(LEFT(F1628,8)="Bijdrage",RIGHT(F1628,15)="(vrijwilligers)"),"Vast tarief"),"")</f>
        <v/>
      </c>
      <c r="O1628" s="90"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0"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1"/>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59"/>
      <c r="Z1628" s="49"/>
      <c r="AA1628" s="37" t="str" cm="1">
        <f t="array" ref="AA1628">IFERROR(IF(INDEX(SubsidieTabel!$Q$1:$T$9,MATCH($F1628,SubsidieTabel!$Q$1:$Q$9,0),IFERROR(MATCH(Methode_Keuze,SubsidieTabel!$Q$1:$T$1,0),2))&lt;&gt;1=TRUE,"ja",""),"")</f>
        <v/>
      </c>
    </row>
    <row r="1629" spans="1:27" ht="15" customHeight="1" x14ac:dyDescent="0.25">
      <c r="A1629" s="85"/>
      <c r="B1629" s="217" t="str">
        <f>IF(A1629&lt;&gt;"",_xlfn.MAXIFS($B$1:B1628,$A$1:A1628,A1629)+1,"")</f>
        <v/>
      </c>
      <c r="C1629" s="50"/>
      <c r="D1629" s="50"/>
      <c r="E1629" s="50"/>
      <c r="F1629" s="50"/>
      <c r="G1629" s="280"/>
      <c r="H1629" s="293"/>
      <c r="I1629" s="292"/>
      <c r="J1629" s="292"/>
      <c r="K1629" s="200"/>
      <c r="L1629" s="200"/>
      <c r="M1629" s="89" t="str">
        <f>IFERROR(VLOOKUP(H1629,Lijsten!$H$1:$I$100,2,0),"")</f>
        <v/>
      </c>
      <c r="N1629" s="89" t="str" cm="1">
        <f t="array" ref="N1629">IFERROR(_xlfn.IFS(AND(LEFT(F1629,6)="Arbeid",RIGHT(F1629,3)&lt;&gt;"IKS"),IFERROR(VLOOKUP($G1629,Tb_KostenTypen[],2,0),"tarief"),RIGHT(F1629,3)="IKS","Uurtarief",LEFT(F1629,6)="Arbeid","Uurtarief",AND(LEFT(F1629,8)="Bijdrage",RIGHT(F1629,15)="(vrijwilligers)"),"Vast tarief"),"")</f>
        <v/>
      </c>
      <c r="O1629" s="90"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0"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1"/>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59"/>
      <c r="Z1629" s="49"/>
      <c r="AA1629" s="37" t="str" cm="1">
        <f t="array" ref="AA1629">IFERROR(IF(INDEX(SubsidieTabel!$Q$1:$T$9,MATCH($F1629,SubsidieTabel!$Q$1:$Q$9,0),IFERROR(MATCH(Methode_Keuze,SubsidieTabel!$Q$1:$T$1,0),2))&lt;&gt;1=TRUE,"ja",""),"")</f>
        <v/>
      </c>
    </row>
    <row r="1630" spans="1:27" ht="15" customHeight="1" x14ac:dyDescent="0.25">
      <c r="A1630" s="85"/>
      <c r="B1630" s="217" t="str">
        <f>IF(A1630&lt;&gt;"",_xlfn.MAXIFS($B$1:B1629,$A$1:A1629,A1630)+1,"")</f>
        <v/>
      </c>
      <c r="C1630" s="50"/>
      <c r="D1630" s="50"/>
      <c r="E1630" s="50"/>
      <c r="F1630" s="50"/>
      <c r="G1630" s="280"/>
      <c r="H1630" s="293"/>
      <c r="I1630" s="292"/>
      <c r="J1630" s="292"/>
      <c r="K1630" s="200"/>
      <c r="L1630" s="200"/>
      <c r="M1630" s="89" t="str">
        <f>IFERROR(VLOOKUP(H1630,Lijsten!$H$1:$I$100,2,0),"")</f>
        <v/>
      </c>
      <c r="N1630" s="89" t="str" cm="1">
        <f t="array" ref="N1630">IFERROR(_xlfn.IFS(AND(LEFT(F1630,6)="Arbeid",RIGHT(F1630,3)&lt;&gt;"IKS"),IFERROR(VLOOKUP($G1630,Tb_KostenTypen[],2,0),"tarief"),RIGHT(F1630,3)="IKS","Uurtarief",LEFT(F1630,6)="Arbeid","Uurtarief",AND(LEFT(F1630,8)="Bijdrage",RIGHT(F1630,15)="(vrijwilligers)"),"Vast tarief"),"")</f>
        <v/>
      </c>
      <c r="O1630" s="90"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0"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1"/>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59"/>
      <c r="Z1630" s="49"/>
      <c r="AA1630" s="37" t="str" cm="1">
        <f t="array" ref="AA1630">IFERROR(IF(INDEX(SubsidieTabel!$Q$1:$T$9,MATCH($F1630,SubsidieTabel!$Q$1:$Q$9,0),IFERROR(MATCH(Methode_Keuze,SubsidieTabel!$Q$1:$T$1,0),2))&lt;&gt;1=TRUE,"ja",""),"")</f>
        <v/>
      </c>
    </row>
    <row r="1631" spans="1:27" ht="15" customHeight="1" x14ac:dyDescent="0.25">
      <c r="A1631" s="85"/>
      <c r="B1631" s="217" t="str">
        <f>IF(A1631&lt;&gt;"",_xlfn.MAXIFS($B$1:B1630,$A$1:A1630,A1631)+1,"")</f>
        <v/>
      </c>
      <c r="C1631" s="50"/>
      <c r="D1631" s="50"/>
      <c r="E1631" s="50"/>
      <c r="F1631" s="50"/>
      <c r="G1631" s="280"/>
      <c r="H1631" s="293"/>
      <c r="I1631" s="292"/>
      <c r="J1631" s="292"/>
      <c r="K1631" s="200"/>
      <c r="L1631" s="200"/>
      <c r="M1631" s="89" t="str">
        <f>IFERROR(VLOOKUP(H1631,Lijsten!$H$1:$I$100,2,0),"")</f>
        <v/>
      </c>
      <c r="N1631" s="89" t="str" cm="1">
        <f t="array" ref="N1631">IFERROR(_xlfn.IFS(AND(LEFT(F1631,6)="Arbeid",RIGHT(F1631,3)&lt;&gt;"IKS"),IFERROR(VLOOKUP($G1631,Tb_KostenTypen[],2,0),"tarief"),RIGHT(F1631,3)="IKS","Uurtarief",LEFT(F1631,6)="Arbeid","Uurtarief",AND(LEFT(F1631,8)="Bijdrage",RIGHT(F1631,15)="(vrijwilligers)"),"Vast tarief"),"")</f>
        <v/>
      </c>
      <c r="O1631" s="90"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0"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1"/>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59"/>
      <c r="Z1631" s="49"/>
      <c r="AA1631" s="37" t="str" cm="1">
        <f t="array" ref="AA1631">IFERROR(IF(INDEX(SubsidieTabel!$Q$1:$T$9,MATCH($F1631,SubsidieTabel!$Q$1:$Q$9,0),IFERROR(MATCH(Methode_Keuze,SubsidieTabel!$Q$1:$T$1,0),2))&lt;&gt;1=TRUE,"ja",""),"")</f>
        <v/>
      </c>
    </row>
    <row r="1632" spans="1:27" ht="15" customHeight="1" x14ac:dyDescent="0.25">
      <c r="A1632" s="85"/>
      <c r="B1632" s="217" t="str">
        <f>IF(A1632&lt;&gt;"",_xlfn.MAXIFS($B$1:B1631,$A$1:A1631,A1632)+1,"")</f>
        <v/>
      </c>
      <c r="C1632" s="50"/>
      <c r="D1632" s="50"/>
      <c r="E1632" s="50"/>
      <c r="F1632" s="50"/>
      <c r="G1632" s="280"/>
      <c r="H1632" s="293"/>
      <c r="I1632" s="292"/>
      <c r="J1632" s="292"/>
      <c r="K1632" s="200"/>
      <c r="L1632" s="200"/>
      <c r="M1632" s="89" t="str">
        <f>IFERROR(VLOOKUP(H1632,Lijsten!$H$1:$I$100,2,0),"")</f>
        <v/>
      </c>
      <c r="N1632" s="89" t="str" cm="1">
        <f t="array" ref="N1632">IFERROR(_xlfn.IFS(AND(LEFT(F1632,6)="Arbeid",RIGHT(F1632,3)&lt;&gt;"IKS"),IFERROR(VLOOKUP($G1632,Tb_KostenTypen[],2,0),"tarief"),RIGHT(F1632,3)="IKS","Uurtarief",LEFT(F1632,6)="Arbeid","Uurtarief",AND(LEFT(F1632,8)="Bijdrage",RIGHT(F1632,15)="(vrijwilligers)"),"Vast tarief"),"")</f>
        <v/>
      </c>
      <c r="O1632" s="90"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0"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1"/>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59"/>
      <c r="Z1632" s="49"/>
      <c r="AA1632" s="37" t="str" cm="1">
        <f t="array" ref="AA1632">IFERROR(IF(INDEX(SubsidieTabel!$Q$1:$T$9,MATCH($F1632,SubsidieTabel!$Q$1:$Q$9,0),IFERROR(MATCH(Methode_Keuze,SubsidieTabel!$Q$1:$T$1,0),2))&lt;&gt;1=TRUE,"ja",""),"")</f>
        <v/>
      </c>
    </row>
    <row r="1633" spans="1:27" ht="15" customHeight="1" x14ac:dyDescent="0.25">
      <c r="A1633" s="85"/>
      <c r="B1633" s="217" t="str">
        <f>IF(A1633&lt;&gt;"",_xlfn.MAXIFS($B$1:B1632,$A$1:A1632,A1633)+1,"")</f>
        <v/>
      </c>
      <c r="C1633" s="50"/>
      <c r="D1633" s="50"/>
      <c r="E1633" s="50"/>
      <c r="F1633" s="50"/>
      <c r="G1633" s="280"/>
      <c r="H1633" s="293"/>
      <c r="I1633" s="292"/>
      <c r="J1633" s="292"/>
      <c r="K1633" s="200"/>
      <c r="L1633" s="200"/>
      <c r="M1633" s="89" t="str">
        <f>IFERROR(VLOOKUP(H1633,Lijsten!$H$1:$I$100,2,0),"")</f>
        <v/>
      </c>
      <c r="N1633" s="89" t="str" cm="1">
        <f t="array" ref="N1633">IFERROR(_xlfn.IFS(AND(LEFT(F1633,6)="Arbeid",RIGHT(F1633,3)&lt;&gt;"IKS"),IFERROR(VLOOKUP($G1633,Tb_KostenTypen[],2,0),"tarief"),RIGHT(F1633,3)="IKS","Uurtarief",LEFT(F1633,6)="Arbeid","Uurtarief",AND(LEFT(F1633,8)="Bijdrage",RIGHT(F1633,15)="(vrijwilligers)"),"Vast tarief"),"")</f>
        <v/>
      </c>
      <c r="O1633" s="90"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0"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1"/>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59"/>
      <c r="Z1633" s="49"/>
      <c r="AA1633" s="37" t="str" cm="1">
        <f t="array" ref="AA1633">IFERROR(IF(INDEX(SubsidieTabel!$Q$1:$T$9,MATCH($F1633,SubsidieTabel!$Q$1:$Q$9,0),IFERROR(MATCH(Methode_Keuze,SubsidieTabel!$Q$1:$T$1,0),2))&lt;&gt;1=TRUE,"ja",""),"")</f>
        <v/>
      </c>
    </row>
    <row r="1634" spans="1:27" ht="15" customHeight="1" x14ac:dyDescent="0.25">
      <c r="A1634" s="85"/>
      <c r="B1634" s="217" t="str">
        <f>IF(A1634&lt;&gt;"",_xlfn.MAXIFS($B$1:B1633,$A$1:A1633,A1634)+1,"")</f>
        <v/>
      </c>
      <c r="C1634" s="50"/>
      <c r="D1634" s="50"/>
      <c r="E1634" s="50"/>
      <c r="F1634" s="50"/>
      <c r="G1634" s="280"/>
      <c r="H1634" s="293"/>
      <c r="I1634" s="292"/>
      <c r="J1634" s="292"/>
      <c r="K1634" s="200"/>
      <c r="L1634" s="200"/>
      <c r="M1634" s="89" t="str">
        <f>IFERROR(VLOOKUP(H1634,Lijsten!$H$1:$I$100,2,0),"")</f>
        <v/>
      </c>
      <c r="N1634" s="89" t="str" cm="1">
        <f t="array" ref="N1634">IFERROR(_xlfn.IFS(AND(LEFT(F1634,6)="Arbeid",RIGHT(F1634,3)&lt;&gt;"IKS"),IFERROR(VLOOKUP($G1634,Tb_KostenTypen[],2,0),"tarief"),RIGHT(F1634,3)="IKS","Uurtarief",LEFT(F1634,6)="Arbeid","Uurtarief",AND(LEFT(F1634,8)="Bijdrage",RIGHT(F1634,15)="(vrijwilligers)"),"Vast tarief"),"")</f>
        <v/>
      </c>
      <c r="O1634" s="90"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0"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1"/>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59"/>
      <c r="Z1634" s="49"/>
      <c r="AA1634" s="37" t="str" cm="1">
        <f t="array" ref="AA1634">IFERROR(IF(INDEX(SubsidieTabel!$Q$1:$T$9,MATCH($F1634,SubsidieTabel!$Q$1:$Q$9,0),IFERROR(MATCH(Methode_Keuze,SubsidieTabel!$Q$1:$T$1,0),2))&lt;&gt;1=TRUE,"ja",""),"")</f>
        <v/>
      </c>
    </row>
    <row r="1635" spans="1:27" ht="15" customHeight="1" x14ac:dyDescent="0.25">
      <c r="A1635" s="85"/>
      <c r="B1635" s="217" t="str">
        <f>IF(A1635&lt;&gt;"",_xlfn.MAXIFS($B$1:B1634,$A$1:A1634,A1635)+1,"")</f>
        <v/>
      </c>
      <c r="C1635" s="50"/>
      <c r="D1635" s="50"/>
      <c r="E1635" s="50"/>
      <c r="F1635" s="50"/>
      <c r="G1635" s="280"/>
      <c r="H1635" s="293"/>
      <c r="I1635" s="292"/>
      <c r="J1635" s="292"/>
      <c r="K1635" s="200"/>
      <c r="L1635" s="200"/>
      <c r="M1635" s="89" t="str">
        <f>IFERROR(VLOOKUP(H1635,Lijsten!$H$1:$I$100,2,0),"")</f>
        <v/>
      </c>
      <c r="N1635" s="89" t="str" cm="1">
        <f t="array" ref="N1635">IFERROR(_xlfn.IFS(AND(LEFT(F1635,6)="Arbeid",RIGHT(F1635,3)&lt;&gt;"IKS"),IFERROR(VLOOKUP($G1635,Tb_KostenTypen[],2,0),"tarief"),RIGHT(F1635,3)="IKS","Uurtarief",LEFT(F1635,6)="Arbeid","Uurtarief",AND(LEFT(F1635,8)="Bijdrage",RIGHT(F1635,15)="(vrijwilligers)"),"Vast tarief"),"")</f>
        <v/>
      </c>
      <c r="O1635" s="90"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0"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1"/>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59"/>
      <c r="Z1635" s="49"/>
      <c r="AA1635" s="37" t="str" cm="1">
        <f t="array" ref="AA1635">IFERROR(IF(INDEX(SubsidieTabel!$Q$1:$T$9,MATCH($F1635,SubsidieTabel!$Q$1:$Q$9,0),IFERROR(MATCH(Methode_Keuze,SubsidieTabel!$Q$1:$T$1,0),2))&lt;&gt;1=TRUE,"ja",""),"")</f>
        <v/>
      </c>
    </row>
    <row r="1636" spans="1:27" ht="15" customHeight="1" x14ac:dyDescent="0.25">
      <c r="A1636" s="85"/>
      <c r="B1636" s="217" t="str">
        <f>IF(A1636&lt;&gt;"",_xlfn.MAXIFS($B$1:B1635,$A$1:A1635,A1636)+1,"")</f>
        <v/>
      </c>
      <c r="C1636" s="50"/>
      <c r="D1636" s="50"/>
      <c r="E1636" s="50"/>
      <c r="F1636" s="50"/>
      <c r="G1636" s="280"/>
      <c r="H1636" s="293"/>
      <c r="I1636" s="292"/>
      <c r="J1636" s="292"/>
      <c r="K1636" s="200"/>
      <c r="L1636" s="200"/>
      <c r="M1636" s="89" t="str">
        <f>IFERROR(VLOOKUP(H1636,Lijsten!$H$1:$I$100,2,0),"")</f>
        <v/>
      </c>
      <c r="N1636" s="89" t="str" cm="1">
        <f t="array" ref="N1636">IFERROR(_xlfn.IFS(AND(LEFT(F1636,6)="Arbeid",RIGHT(F1636,3)&lt;&gt;"IKS"),IFERROR(VLOOKUP($G1636,Tb_KostenTypen[],2,0),"tarief"),RIGHT(F1636,3)="IKS","Uurtarief",LEFT(F1636,6)="Arbeid","Uurtarief",AND(LEFT(F1636,8)="Bijdrage",RIGHT(F1636,15)="(vrijwilligers)"),"Vast tarief"),"")</f>
        <v/>
      </c>
      <c r="O1636" s="90"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0"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1"/>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59"/>
      <c r="Z1636" s="49"/>
      <c r="AA1636" s="37" t="str" cm="1">
        <f t="array" ref="AA1636">IFERROR(IF(INDEX(SubsidieTabel!$Q$1:$T$9,MATCH($F1636,SubsidieTabel!$Q$1:$Q$9,0),IFERROR(MATCH(Methode_Keuze,SubsidieTabel!$Q$1:$T$1,0),2))&lt;&gt;1=TRUE,"ja",""),"")</f>
        <v/>
      </c>
    </row>
    <row r="1637" spans="1:27" ht="15" customHeight="1" x14ac:dyDescent="0.25">
      <c r="A1637" s="85"/>
      <c r="B1637" s="217" t="str">
        <f>IF(A1637&lt;&gt;"",_xlfn.MAXIFS($B$1:B1636,$A$1:A1636,A1637)+1,"")</f>
        <v/>
      </c>
      <c r="C1637" s="50"/>
      <c r="D1637" s="50"/>
      <c r="E1637" s="50"/>
      <c r="F1637" s="50"/>
      <c r="G1637" s="280"/>
      <c r="H1637" s="293"/>
      <c r="I1637" s="292"/>
      <c r="J1637" s="292"/>
      <c r="K1637" s="200"/>
      <c r="L1637" s="200"/>
      <c r="M1637" s="89" t="str">
        <f>IFERROR(VLOOKUP(H1637,Lijsten!$H$1:$I$100,2,0),"")</f>
        <v/>
      </c>
      <c r="N1637" s="89" t="str" cm="1">
        <f t="array" ref="N1637">IFERROR(_xlfn.IFS(AND(LEFT(F1637,6)="Arbeid",RIGHT(F1637,3)&lt;&gt;"IKS"),IFERROR(VLOOKUP($G1637,Tb_KostenTypen[],2,0),"tarief"),RIGHT(F1637,3)="IKS","Uurtarief",LEFT(F1637,6)="Arbeid","Uurtarief",AND(LEFT(F1637,8)="Bijdrage",RIGHT(F1637,15)="(vrijwilligers)"),"Vast tarief"),"")</f>
        <v/>
      </c>
      <c r="O1637" s="90"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0"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1"/>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59"/>
      <c r="Z1637" s="49"/>
      <c r="AA1637" s="37" t="str" cm="1">
        <f t="array" ref="AA1637">IFERROR(IF(INDEX(SubsidieTabel!$Q$1:$T$9,MATCH($F1637,SubsidieTabel!$Q$1:$Q$9,0),IFERROR(MATCH(Methode_Keuze,SubsidieTabel!$Q$1:$T$1,0),2))&lt;&gt;1=TRUE,"ja",""),"")</f>
        <v/>
      </c>
    </row>
    <row r="1638" spans="1:27" ht="15" customHeight="1" x14ac:dyDescent="0.25">
      <c r="A1638" s="85"/>
      <c r="B1638" s="217" t="str">
        <f>IF(A1638&lt;&gt;"",_xlfn.MAXIFS($B$1:B1637,$A$1:A1637,A1638)+1,"")</f>
        <v/>
      </c>
      <c r="C1638" s="50"/>
      <c r="D1638" s="50"/>
      <c r="E1638" s="50"/>
      <c r="F1638" s="50"/>
      <c r="G1638" s="280"/>
      <c r="H1638" s="293"/>
      <c r="I1638" s="292"/>
      <c r="J1638" s="292"/>
      <c r="K1638" s="200"/>
      <c r="L1638" s="200"/>
      <c r="M1638" s="89" t="str">
        <f>IFERROR(VLOOKUP(H1638,Lijsten!$H$1:$I$100,2,0),"")</f>
        <v/>
      </c>
      <c r="N1638" s="89" t="str" cm="1">
        <f t="array" ref="N1638">IFERROR(_xlfn.IFS(AND(LEFT(F1638,6)="Arbeid",RIGHT(F1638,3)&lt;&gt;"IKS"),IFERROR(VLOOKUP($G1638,Tb_KostenTypen[],2,0),"tarief"),RIGHT(F1638,3)="IKS","Uurtarief",LEFT(F1638,6)="Arbeid","Uurtarief",AND(LEFT(F1638,8)="Bijdrage",RIGHT(F1638,15)="(vrijwilligers)"),"Vast tarief"),"")</f>
        <v/>
      </c>
      <c r="O1638" s="90"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0"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1"/>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59"/>
      <c r="Z1638" s="49"/>
      <c r="AA1638" s="37" t="str" cm="1">
        <f t="array" ref="AA1638">IFERROR(IF(INDEX(SubsidieTabel!$Q$1:$T$9,MATCH($F1638,SubsidieTabel!$Q$1:$Q$9,0),IFERROR(MATCH(Methode_Keuze,SubsidieTabel!$Q$1:$T$1,0),2))&lt;&gt;1=TRUE,"ja",""),"")</f>
        <v/>
      </c>
    </row>
    <row r="1639" spans="1:27" ht="15" customHeight="1" x14ac:dyDescent="0.25">
      <c r="A1639" s="85"/>
      <c r="B1639" s="217" t="str">
        <f>IF(A1639&lt;&gt;"",_xlfn.MAXIFS($B$1:B1638,$A$1:A1638,A1639)+1,"")</f>
        <v/>
      </c>
      <c r="C1639" s="50"/>
      <c r="D1639" s="50"/>
      <c r="E1639" s="50"/>
      <c r="F1639" s="50"/>
      <c r="G1639" s="280"/>
      <c r="H1639" s="293"/>
      <c r="I1639" s="292"/>
      <c r="J1639" s="292"/>
      <c r="K1639" s="200"/>
      <c r="L1639" s="200"/>
      <c r="M1639" s="89" t="str">
        <f>IFERROR(VLOOKUP(H1639,Lijsten!$H$1:$I$100,2,0),"")</f>
        <v/>
      </c>
      <c r="N1639" s="89" t="str" cm="1">
        <f t="array" ref="N1639">IFERROR(_xlfn.IFS(AND(LEFT(F1639,6)="Arbeid",RIGHT(F1639,3)&lt;&gt;"IKS"),IFERROR(VLOOKUP($G1639,Tb_KostenTypen[],2,0),"tarief"),RIGHT(F1639,3)="IKS","Uurtarief",LEFT(F1639,6)="Arbeid","Uurtarief",AND(LEFT(F1639,8)="Bijdrage",RIGHT(F1639,15)="(vrijwilligers)"),"Vast tarief"),"")</f>
        <v/>
      </c>
      <c r="O1639" s="90"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0"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1"/>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59"/>
      <c r="Z1639" s="49"/>
      <c r="AA1639" s="37" t="str" cm="1">
        <f t="array" ref="AA1639">IFERROR(IF(INDEX(SubsidieTabel!$Q$1:$T$9,MATCH($F1639,SubsidieTabel!$Q$1:$Q$9,0),IFERROR(MATCH(Methode_Keuze,SubsidieTabel!$Q$1:$T$1,0),2))&lt;&gt;1=TRUE,"ja",""),"")</f>
        <v/>
      </c>
    </row>
    <row r="1640" spans="1:27" ht="15" customHeight="1" x14ac:dyDescent="0.25">
      <c r="A1640" s="85"/>
      <c r="B1640" s="217" t="str">
        <f>IF(A1640&lt;&gt;"",_xlfn.MAXIFS($B$1:B1639,$A$1:A1639,A1640)+1,"")</f>
        <v/>
      </c>
      <c r="C1640" s="50"/>
      <c r="D1640" s="50"/>
      <c r="E1640" s="50"/>
      <c r="F1640" s="50"/>
      <c r="G1640" s="280"/>
      <c r="H1640" s="293"/>
      <c r="I1640" s="292"/>
      <c r="J1640" s="292"/>
      <c r="K1640" s="200"/>
      <c r="L1640" s="200"/>
      <c r="M1640" s="89" t="str">
        <f>IFERROR(VLOOKUP(H1640,Lijsten!$H$1:$I$100,2,0),"")</f>
        <v/>
      </c>
      <c r="N1640" s="89" t="str" cm="1">
        <f t="array" ref="N1640">IFERROR(_xlfn.IFS(AND(LEFT(F1640,6)="Arbeid",RIGHT(F1640,3)&lt;&gt;"IKS"),IFERROR(VLOOKUP($G1640,Tb_KostenTypen[],2,0),"tarief"),RIGHT(F1640,3)="IKS","Uurtarief",LEFT(F1640,6)="Arbeid","Uurtarief",AND(LEFT(F1640,8)="Bijdrage",RIGHT(F1640,15)="(vrijwilligers)"),"Vast tarief"),"")</f>
        <v/>
      </c>
      <c r="O1640" s="90"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0"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1"/>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59"/>
      <c r="Z1640" s="49"/>
      <c r="AA1640" s="37" t="str" cm="1">
        <f t="array" ref="AA1640">IFERROR(IF(INDEX(SubsidieTabel!$Q$1:$T$9,MATCH($F1640,SubsidieTabel!$Q$1:$Q$9,0),IFERROR(MATCH(Methode_Keuze,SubsidieTabel!$Q$1:$T$1,0),2))&lt;&gt;1=TRUE,"ja",""),"")</f>
        <v/>
      </c>
    </row>
    <row r="1641" spans="1:27" ht="15" customHeight="1" x14ac:dyDescent="0.25">
      <c r="A1641" s="85"/>
      <c r="B1641" s="217" t="str">
        <f>IF(A1641&lt;&gt;"",_xlfn.MAXIFS($B$1:B1640,$A$1:A1640,A1641)+1,"")</f>
        <v/>
      </c>
      <c r="C1641" s="50"/>
      <c r="D1641" s="50"/>
      <c r="E1641" s="50"/>
      <c r="F1641" s="50"/>
      <c r="G1641" s="280"/>
      <c r="H1641" s="293"/>
      <c r="I1641" s="292"/>
      <c r="J1641" s="292"/>
      <c r="K1641" s="200"/>
      <c r="L1641" s="200"/>
      <c r="M1641" s="89" t="str">
        <f>IFERROR(VLOOKUP(H1641,Lijsten!$H$1:$I$100,2,0),"")</f>
        <v/>
      </c>
      <c r="N1641" s="89" t="str" cm="1">
        <f t="array" ref="N1641">IFERROR(_xlfn.IFS(AND(LEFT(F1641,6)="Arbeid",RIGHT(F1641,3)&lt;&gt;"IKS"),IFERROR(VLOOKUP($G1641,Tb_KostenTypen[],2,0),"tarief"),RIGHT(F1641,3)="IKS","Uurtarief",LEFT(F1641,6)="Arbeid","Uurtarief",AND(LEFT(F1641,8)="Bijdrage",RIGHT(F1641,15)="(vrijwilligers)"),"Vast tarief"),"")</f>
        <v/>
      </c>
      <c r="O1641" s="90"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0"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1"/>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59"/>
      <c r="Z1641" s="49"/>
      <c r="AA1641" s="37" t="str" cm="1">
        <f t="array" ref="AA1641">IFERROR(IF(INDEX(SubsidieTabel!$Q$1:$T$9,MATCH($F1641,SubsidieTabel!$Q$1:$Q$9,0),IFERROR(MATCH(Methode_Keuze,SubsidieTabel!$Q$1:$T$1,0),2))&lt;&gt;1=TRUE,"ja",""),"")</f>
        <v/>
      </c>
    </row>
    <row r="1642" spans="1:27" ht="15" customHeight="1" x14ac:dyDescent="0.25">
      <c r="A1642" s="85"/>
      <c r="B1642" s="217" t="str">
        <f>IF(A1642&lt;&gt;"",_xlfn.MAXIFS($B$1:B1641,$A$1:A1641,A1642)+1,"")</f>
        <v/>
      </c>
      <c r="C1642" s="50"/>
      <c r="D1642" s="50"/>
      <c r="E1642" s="50"/>
      <c r="F1642" s="50"/>
      <c r="G1642" s="280"/>
      <c r="H1642" s="293"/>
      <c r="I1642" s="292"/>
      <c r="J1642" s="292"/>
      <c r="K1642" s="200"/>
      <c r="L1642" s="200"/>
      <c r="M1642" s="89" t="str">
        <f>IFERROR(VLOOKUP(H1642,Lijsten!$H$1:$I$100,2,0),"")</f>
        <v/>
      </c>
      <c r="N1642" s="89" t="str" cm="1">
        <f t="array" ref="N1642">IFERROR(_xlfn.IFS(AND(LEFT(F1642,6)="Arbeid",RIGHT(F1642,3)&lt;&gt;"IKS"),IFERROR(VLOOKUP($G1642,Tb_KostenTypen[],2,0),"tarief"),RIGHT(F1642,3)="IKS","Uurtarief",LEFT(F1642,6)="Arbeid","Uurtarief",AND(LEFT(F1642,8)="Bijdrage",RIGHT(F1642,15)="(vrijwilligers)"),"Vast tarief"),"")</f>
        <v/>
      </c>
      <c r="O1642" s="90"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0"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1"/>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59"/>
      <c r="Z1642" s="49"/>
      <c r="AA1642" s="37" t="str" cm="1">
        <f t="array" ref="AA1642">IFERROR(IF(INDEX(SubsidieTabel!$Q$1:$T$9,MATCH($F1642,SubsidieTabel!$Q$1:$Q$9,0),IFERROR(MATCH(Methode_Keuze,SubsidieTabel!$Q$1:$T$1,0),2))&lt;&gt;1=TRUE,"ja",""),"")</f>
        <v/>
      </c>
    </row>
    <row r="1643" spans="1:27" ht="15" customHeight="1" x14ac:dyDescent="0.25">
      <c r="A1643" s="85"/>
      <c r="B1643" s="217" t="str">
        <f>IF(A1643&lt;&gt;"",_xlfn.MAXIFS($B$1:B1642,$A$1:A1642,A1643)+1,"")</f>
        <v/>
      </c>
      <c r="C1643" s="50"/>
      <c r="D1643" s="50"/>
      <c r="E1643" s="50"/>
      <c r="F1643" s="50"/>
      <c r="G1643" s="280"/>
      <c r="H1643" s="293"/>
      <c r="I1643" s="292"/>
      <c r="J1643" s="292"/>
      <c r="K1643" s="200"/>
      <c r="L1643" s="200"/>
      <c r="M1643" s="89" t="str">
        <f>IFERROR(VLOOKUP(H1643,Lijsten!$H$1:$I$100,2,0),"")</f>
        <v/>
      </c>
      <c r="N1643" s="89" t="str" cm="1">
        <f t="array" ref="N1643">IFERROR(_xlfn.IFS(AND(LEFT(F1643,6)="Arbeid",RIGHT(F1643,3)&lt;&gt;"IKS"),IFERROR(VLOOKUP($G1643,Tb_KostenTypen[],2,0),"tarief"),RIGHT(F1643,3)="IKS","Uurtarief",LEFT(F1643,6)="Arbeid","Uurtarief",AND(LEFT(F1643,8)="Bijdrage",RIGHT(F1643,15)="(vrijwilligers)"),"Vast tarief"),"")</f>
        <v/>
      </c>
      <c r="O1643" s="90"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0"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1"/>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59"/>
      <c r="Z1643" s="49"/>
      <c r="AA1643" s="37" t="str" cm="1">
        <f t="array" ref="AA1643">IFERROR(IF(INDEX(SubsidieTabel!$Q$1:$T$9,MATCH($F1643,SubsidieTabel!$Q$1:$Q$9,0),IFERROR(MATCH(Methode_Keuze,SubsidieTabel!$Q$1:$T$1,0),2))&lt;&gt;1=TRUE,"ja",""),"")</f>
        <v/>
      </c>
    </row>
    <row r="1644" spans="1:27" ht="15" customHeight="1" x14ac:dyDescent="0.25">
      <c r="A1644" s="85"/>
      <c r="B1644" s="217" t="str">
        <f>IF(A1644&lt;&gt;"",_xlfn.MAXIFS($B$1:B1643,$A$1:A1643,A1644)+1,"")</f>
        <v/>
      </c>
      <c r="C1644" s="50"/>
      <c r="D1644" s="50"/>
      <c r="E1644" s="50"/>
      <c r="F1644" s="50"/>
      <c r="G1644" s="280"/>
      <c r="H1644" s="293"/>
      <c r="I1644" s="292"/>
      <c r="J1644" s="292"/>
      <c r="K1644" s="200"/>
      <c r="L1644" s="200"/>
      <c r="M1644" s="89" t="str">
        <f>IFERROR(VLOOKUP(H1644,Lijsten!$H$1:$I$100,2,0),"")</f>
        <v/>
      </c>
      <c r="N1644" s="89" t="str" cm="1">
        <f t="array" ref="N1644">IFERROR(_xlfn.IFS(AND(LEFT(F1644,6)="Arbeid",RIGHT(F1644,3)&lt;&gt;"IKS"),IFERROR(VLOOKUP($G1644,Tb_KostenTypen[],2,0),"tarief"),RIGHT(F1644,3)="IKS","Uurtarief",LEFT(F1644,6)="Arbeid","Uurtarief",AND(LEFT(F1644,8)="Bijdrage",RIGHT(F1644,15)="(vrijwilligers)"),"Vast tarief"),"")</f>
        <v/>
      </c>
      <c r="O1644" s="90"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0"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1"/>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59"/>
      <c r="Z1644" s="49"/>
      <c r="AA1644" s="37" t="str" cm="1">
        <f t="array" ref="AA1644">IFERROR(IF(INDEX(SubsidieTabel!$Q$1:$T$9,MATCH($F1644,SubsidieTabel!$Q$1:$Q$9,0),IFERROR(MATCH(Methode_Keuze,SubsidieTabel!$Q$1:$T$1,0),2))&lt;&gt;1=TRUE,"ja",""),"")</f>
        <v/>
      </c>
    </row>
    <row r="1645" spans="1:27" ht="15" customHeight="1" x14ac:dyDescent="0.25">
      <c r="A1645" s="85"/>
      <c r="B1645" s="217" t="str">
        <f>IF(A1645&lt;&gt;"",_xlfn.MAXIFS($B$1:B1644,$A$1:A1644,A1645)+1,"")</f>
        <v/>
      </c>
      <c r="C1645" s="50"/>
      <c r="D1645" s="50"/>
      <c r="E1645" s="50"/>
      <c r="F1645" s="50"/>
      <c r="G1645" s="280"/>
      <c r="H1645" s="293"/>
      <c r="I1645" s="292"/>
      <c r="J1645" s="292"/>
      <c r="K1645" s="200"/>
      <c r="L1645" s="200"/>
      <c r="M1645" s="89" t="str">
        <f>IFERROR(VLOOKUP(H1645,Lijsten!$H$1:$I$100,2,0),"")</f>
        <v/>
      </c>
      <c r="N1645" s="89" t="str" cm="1">
        <f t="array" ref="N1645">IFERROR(_xlfn.IFS(AND(LEFT(F1645,6)="Arbeid",RIGHT(F1645,3)&lt;&gt;"IKS"),IFERROR(VLOOKUP($G1645,Tb_KostenTypen[],2,0),"tarief"),RIGHT(F1645,3)="IKS","Uurtarief",LEFT(F1645,6)="Arbeid","Uurtarief",AND(LEFT(F1645,8)="Bijdrage",RIGHT(F1645,15)="(vrijwilligers)"),"Vast tarief"),"")</f>
        <v/>
      </c>
      <c r="O1645" s="90"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0"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1"/>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59"/>
      <c r="Z1645" s="49"/>
      <c r="AA1645" s="37" t="str" cm="1">
        <f t="array" ref="AA1645">IFERROR(IF(INDEX(SubsidieTabel!$Q$1:$T$9,MATCH($F1645,SubsidieTabel!$Q$1:$Q$9,0),IFERROR(MATCH(Methode_Keuze,SubsidieTabel!$Q$1:$T$1,0),2))&lt;&gt;1=TRUE,"ja",""),"")</f>
        <v/>
      </c>
    </row>
    <row r="1646" spans="1:27" ht="15" customHeight="1" x14ac:dyDescent="0.25">
      <c r="A1646" s="85"/>
      <c r="B1646" s="217" t="str">
        <f>IF(A1646&lt;&gt;"",_xlfn.MAXIFS($B$1:B1645,$A$1:A1645,A1646)+1,"")</f>
        <v/>
      </c>
      <c r="C1646" s="50"/>
      <c r="D1646" s="50"/>
      <c r="E1646" s="50"/>
      <c r="F1646" s="50"/>
      <c r="G1646" s="280"/>
      <c r="H1646" s="293"/>
      <c r="I1646" s="292"/>
      <c r="J1646" s="292"/>
      <c r="K1646" s="200"/>
      <c r="L1646" s="200"/>
      <c r="M1646" s="89" t="str">
        <f>IFERROR(VLOOKUP(H1646,Lijsten!$H$1:$I$100,2,0),"")</f>
        <v/>
      </c>
      <c r="N1646" s="89" t="str" cm="1">
        <f t="array" ref="N1646">IFERROR(_xlfn.IFS(AND(LEFT(F1646,6)="Arbeid",RIGHT(F1646,3)&lt;&gt;"IKS"),IFERROR(VLOOKUP($G1646,Tb_KostenTypen[],2,0),"tarief"),RIGHT(F1646,3)="IKS","Uurtarief",LEFT(F1646,6)="Arbeid","Uurtarief",AND(LEFT(F1646,8)="Bijdrage",RIGHT(F1646,15)="(vrijwilligers)"),"Vast tarief"),"")</f>
        <v/>
      </c>
      <c r="O1646" s="90"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0"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1"/>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59"/>
      <c r="Z1646" s="49"/>
      <c r="AA1646" s="37" t="str" cm="1">
        <f t="array" ref="AA1646">IFERROR(IF(INDEX(SubsidieTabel!$Q$1:$T$9,MATCH($F1646,SubsidieTabel!$Q$1:$Q$9,0),IFERROR(MATCH(Methode_Keuze,SubsidieTabel!$Q$1:$T$1,0),2))&lt;&gt;1=TRUE,"ja",""),"")</f>
        <v/>
      </c>
    </row>
    <row r="1647" spans="1:27" ht="15" customHeight="1" x14ac:dyDescent="0.25">
      <c r="A1647" s="85"/>
      <c r="B1647" s="217" t="str">
        <f>IF(A1647&lt;&gt;"",_xlfn.MAXIFS($B$1:B1646,$A$1:A1646,A1647)+1,"")</f>
        <v/>
      </c>
      <c r="C1647" s="50"/>
      <c r="D1647" s="50"/>
      <c r="E1647" s="50"/>
      <c r="F1647" s="50"/>
      <c r="G1647" s="280"/>
      <c r="H1647" s="293"/>
      <c r="I1647" s="292"/>
      <c r="J1647" s="292"/>
      <c r="K1647" s="200"/>
      <c r="L1647" s="200"/>
      <c r="M1647" s="89" t="str">
        <f>IFERROR(VLOOKUP(H1647,Lijsten!$H$1:$I$100,2,0),"")</f>
        <v/>
      </c>
      <c r="N1647" s="89" t="str" cm="1">
        <f t="array" ref="N1647">IFERROR(_xlfn.IFS(AND(LEFT(F1647,6)="Arbeid",RIGHT(F1647,3)&lt;&gt;"IKS"),IFERROR(VLOOKUP($G1647,Tb_KostenTypen[],2,0),"tarief"),RIGHT(F1647,3)="IKS","Uurtarief",LEFT(F1647,6)="Arbeid","Uurtarief",AND(LEFT(F1647,8)="Bijdrage",RIGHT(F1647,15)="(vrijwilligers)"),"Vast tarief"),"")</f>
        <v/>
      </c>
      <c r="O1647" s="90"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0"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1"/>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59"/>
      <c r="Z1647" s="49"/>
      <c r="AA1647" s="37" t="str" cm="1">
        <f t="array" ref="AA1647">IFERROR(IF(INDEX(SubsidieTabel!$Q$1:$T$9,MATCH($F1647,SubsidieTabel!$Q$1:$Q$9,0),IFERROR(MATCH(Methode_Keuze,SubsidieTabel!$Q$1:$T$1,0),2))&lt;&gt;1=TRUE,"ja",""),"")</f>
        <v/>
      </c>
    </row>
    <row r="1648" spans="1:27" ht="15" customHeight="1" x14ac:dyDescent="0.25">
      <c r="A1648" s="85"/>
      <c r="B1648" s="217" t="str">
        <f>IF(A1648&lt;&gt;"",_xlfn.MAXIFS($B$1:B1647,$A$1:A1647,A1648)+1,"")</f>
        <v/>
      </c>
      <c r="C1648" s="50"/>
      <c r="D1648" s="50"/>
      <c r="E1648" s="50"/>
      <c r="F1648" s="50"/>
      <c r="G1648" s="280"/>
      <c r="H1648" s="293"/>
      <c r="I1648" s="292"/>
      <c r="J1648" s="292"/>
      <c r="K1648" s="200"/>
      <c r="L1648" s="200"/>
      <c r="M1648" s="89" t="str">
        <f>IFERROR(VLOOKUP(H1648,Lijsten!$H$1:$I$100,2,0),"")</f>
        <v/>
      </c>
      <c r="N1648" s="89" t="str" cm="1">
        <f t="array" ref="N1648">IFERROR(_xlfn.IFS(AND(LEFT(F1648,6)="Arbeid",RIGHT(F1648,3)&lt;&gt;"IKS"),IFERROR(VLOOKUP($G1648,Tb_KostenTypen[],2,0),"tarief"),RIGHT(F1648,3)="IKS","Uurtarief",LEFT(F1648,6)="Arbeid","Uurtarief",AND(LEFT(F1648,8)="Bijdrage",RIGHT(F1648,15)="(vrijwilligers)"),"Vast tarief"),"")</f>
        <v/>
      </c>
      <c r="O1648" s="90"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0"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1"/>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59"/>
      <c r="Z1648" s="49"/>
      <c r="AA1648" s="37" t="str" cm="1">
        <f t="array" ref="AA1648">IFERROR(IF(INDEX(SubsidieTabel!$Q$1:$T$9,MATCH($F1648,SubsidieTabel!$Q$1:$Q$9,0),IFERROR(MATCH(Methode_Keuze,SubsidieTabel!$Q$1:$T$1,0),2))&lt;&gt;1=TRUE,"ja",""),"")</f>
        <v/>
      </c>
    </row>
    <row r="1649" spans="1:27" ht="15" customHeight="1" x14ac:dyDescent="0.25">
      <c r="A1649" s="85"/>
      <c r="B1649" s="217" t="str">
        <f>IF(A1649&lt;&gt;"",_xlfn.MAXIFS($B$1:B1648,$A$1:A1648,A1649)+1,"")</f>
        <v/>
      </c>
      <c r="C1649" s="50"/>
      <c r="D1649" s="50"/>
      <c r="E1649" s="50"/>
      <c r="F1649" s="50"/>
      <c r="G1649" s="280"/>
      <c r="H1649" s="293"/>
      <c r="I1649" s="292"/>
      <c r="J1649" s="292"/>
      <c r="K1649" s="200"/>
      <c r="L1649" s="200"/>
      <c r="M1649" s="89" t="str">
        <f>IFERROR(VLOOKUP(H1649,Lijsten!$H$1:$I$100,2,0),"")</f>
        <v/>
      </c>
      <c r="N1649" s="89" t="str" cm="1">
        <f t="array" ref="N1649">IFERROR(_xlfn.IFS(AND(LEFT(F1649,6)="Arbeid",RIGHT(F1649,3)&lt;&gt;"IKS"),IFERROR(VLOOKUP($G1649,Tb_KostenTypen[],2,0),"tarief"),RIGHT(F1649,3)="IKS","Uurtarief",LEFT(F1649,6)="Arbeid","Uurtarief",AND(LEFT(F1649,8)="Bijdrage",RIGHT(F1649,15)="(vrijwilligers)"),"Vast tarief"),"")</f>
        <v/>
      </c>
      <c r="O1649" s="90"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0"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1"/>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59"/>
      <c r="Z1649" s="49"/>
      <c r="AA1649" s="37" t="str" cm="1">
        <f t="array" ref="AA1649">IFERROR(IF(INDEX(SubsidieTabel!$Q$1:$T$9,MATCH($F1649,SubsidieTabel!$Q$1:$Q$9,0),IFERROR(MATCH(Methode_Keuze,SubsidieTabel!$Q$1:$T$1,0),2))&lt;&gt;1=TRUE,"ja",""),"")</f>
        <v/>
      </c>
    </row>
    <row r="1650" spans="1:27" ht="15" customHeight="1" x14ac:dyDescent="0.25">
      <c r="A1650" s="85"/>
      <c r="B1650" s="217" t="str">
        <f>IF(A1650&lt;&gt;"",_xlfn.MAXIFS($B$1:B1649,$A$1:A1649,A1650)+1,"")</f>
        <v/>
      </c>
      <c r="C1650" s="50"/>
      <c r="D1650" s="50"/>
      <c r="E1650" s="50"/>
      <c r="F1650" s="50"/>
      <c r="G1650" s="280"/>
      <c r="H1650" s="293"/>
      <c r="I1650" s="292"/>
      <c r="J1650" s="292"/>
      <c r="K1650" s="200"/>
      <c r="L1650" s="200"/>
      <c r="M1650" s="89" t="str">
        <f>IFERROR(VLOOKUP(H1650,Lijsten!$H$1:$I$100,2,0),"")</f>
        <v/>
      </c>
      <c r="N1650" s="89" t="str" cm="1">
        <f t="array" ref="N1650">IFERROR(_xlfn.IFS(AND(LEFT(F1650,6)="Arbeid",RIGHT(F1650,3)&lt;&gt;"IKS"),IFERROR(VLOOKUP($G1650,Tb_KostenTypen[],2,0),"tarief"),RIGHT(F1650,3)="IKS","Uurtarief",LEFT(F1650,6)="Arbeid","Uurtarief",AND(LEFT(F1650,8)="Bijdrage",RIGHT(F1650,15)="(vrijwilligers)"),"Vast tarief"),"")</f>
        <v/>
      </c>
      <c r="O1650" s="90"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0"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1"/>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59"/>
      <c r="Z1650" s="49"/>
      <c r="AA1650" s="37" t="str" cm="1">
        <f t="array" ref="AA1650">IFERROR(IF(INDEX(SubsidieTabel!$Q$1:$T$9,MATCH($F1650,SubsidieTabel!$Q$1:$Q$9,0),IFERROR(MATCH(Methode_Keuze,SubsidieTabel!$Q$1:$T$1,0),2))&lt;&gt;1=TRUE,"ja",""),"")</f>
        <v/>
      </c>
    </row>
    <row r="1651" spans="1:27" ht="15" customHeight="1" x14ac:dyDescent="0.25">
      <c r="A1651" s="85"/>
      <c r="B1651" s="217" t="str">
        <f>IF(A1651&lt;&gt;"",_xlfn.MAXIFS($B$1:B1650,$A$1:A1650,A1651)+1,"")</f>
        <v/>
      </c>
      <c r="C1651" s="50"/>
      <c r="D1651" s="50"/>
      <c r="E1651" s="50"/>
      <c r="F1651" s="50"/>
      <c r="G1651" s="280"/>
      <c r="H1651" s="293"/>
      <c r="I1651" s="292"/>
      <c r="J1651" s="292"/>
      <c r="K1651" s="200"/>
      <c r="L1651" s="200"/>
      <c r="M1651" s="89" t="str">
        <f>IFERROR(VLOOKUP(H1651,Lijsten!$H$1:$I$100,2,0),"")</f>
        <v/>
      </c>
      <c r="N1651" s="89" t="str" cm="1">
        <f t="array" ref="N1651">IFERROR(_xlfn.IFS(AND(LEFT(F1651,6)="Arbeid",RIGHT(F1651,3)&lt;&gt;"IKS"),IFERROR(VLOOKUP($G1651,Tb_KostenTypen[],2,0),"tarief"),RIGHT(F1651,3)="IKS","Uurtarief",LEFT(F1651,6)="Arbeid","Uurtarief",AND(LEFT(F1651,8)="Bijdrage",RIGHT(F1651,15)="(vrijwilligers)"),"Vast tarief"),"")</f>
        <v/>
      </c>
      <c r="O1651" s="90"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0"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1"/>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59"/>
      <c r="Z1651" s="49"/>
      <c r="AA1651" s="37" t="str" cm="1">
        <f t="array" ref="AA1651">IFERROR(IF(INDEX(SubsidieTabel!$Q$1:$T$9,MATCH($F1651,SubsidieTabel!$Q$1:$Q$9,0),IFERROR(MATCH(Methode_Keuze,SubsidieTabel!$Q$1:$T$1,0),2))&lt;&gt;1=TRUE,"ja",""),"")</f>
        <v/>
      </c>
    </row>
    <row r="1652" spans="1:27" ht="15" customHeight="1" x14ac:dyDescent="0.25">
      <c r="A1652" s="85"/>
      <c r="B1652" s="217" t="str">
        <f>IF(A1652&lt;&gt;"",_xlfn.MAXIFS($B$1:B1651,$A$1:A1651,A1652)+1,"")</f>
        <v/>
      </c>
      <c r="C1652" s="50"/>
      <c r="D1652" s="50"/>
      <c r="E1652" s="50"/>
      <c r="F1652" s="50"/>
      <c r="G1652" s="280"/>
      <c r="H1652" s="293"/>
      <c r="I1652" s="292"/>
      <c r="J1652" s="292"/>
      <c r="K1652" s="200"/>
      <c r="L1652" s="200"/>
      <c r="M1652" s="89" t="str">
        <f>IFERROR(VLOOKUP(H1652,Lijsten!$H$1:$I$100,2,0),"")</f>
        <v/>
      </c>
      <c r="N1652" s="89" t="str" cm="1">
        <f t="array" ref="N1652">IFERROR(_xlfn.IFS(AND(LEFT(F1652,6)="Arbeid",RIGHT(F1652,3)&lt;&gt;"IKS"),IFERROR(VLOOKUP($G1652,Tb_KostenTypen[],2,0),"tarief"),RIGHT(F1652,3)="IKS","Uurtarief",LEFT(F1652,6)="Arbeid","Uurtarief",AND(LEFT(F1652,8)="Bijdrage",RIGHT(F1652,15)="(vrijwilligers)"),"Vast tarief"),"")</f>
        <v/>
      </c>
      <c r="O1652" s="90"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0"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1"/>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59"/>
      <c r="Z1652" s="49"/>
      <c r="AA1652" s="37" t="str" cm="1">
        <f t="array" ref="AA1652">IFERROR(IF(INDEX(SubsidieTabel!$Q$1:$T$9,MATCH($F1652,SubsidieTabel!$Q$1:$Q$9,0),IFERROR(MATCH(Methode_Keuze,SubsidieTabel!$Q$1:$T$1,0),2))&lt;&gt;1=TRUE,"ja",""),"")</f>
        <v/>
      </c>
    </row>
    <row r="1653" spans="1:27" ht="15" customHeight="1" x14ac:dyDescent="0.25">
      <c r="A1653" s="85"/>
      <c r="B1653" s="217" t="str">
        <f>IF(A1653&lt;&gt;"",_xlfn.MAXIFS($B$1:B1652,$A$1:A1652,A1653)+1,"")</f>
        <v/>
      </c>
      <c r="C1653" s="50"/>
      <c r="D1653" s="50"/>
      <c r="E1653" s="50"/>
      <c r="F1653" s="50"/>
      <c r="G1653" s="280"/>
      <c r="H1653" s="293"/>
      <c r="I1653" s="292"/>
      <c r="J1653" s="292"/>
      <c r="K1653" s="200"/>
      <c r="L1653" s="200"/>
      <c r="M1653" s="89" t="str">
        <f>IFERROR(VLOOKUP(H1653,Lijsten!$H$1:$I$100,2,0),"")</f>
        <v/>
      </c>
      <c r="N1653" s="89" t="str" cm="1">
        <f t="array" ref="N1653">IFERROR(_xlfn.IFS(AND(LEFT(F1653,6)="Arbeid",RIGHT(F1653,3)&lt;&gt;"IKS"),IFERROR(VLOOKUP($G1653,Tb_KostenTypen[],2,0),"tarief"),RIGHT(F1653,3)="IKS","Uurtarief",LEFT(F1653,6)="Arbeid","Uurtarief",AND(LEFT(F1653,8)="Bijdrage",RIGHT(F1653,15)="(vrijwilligers)"),"Vast tarief"),"")</f>
        <v/>
      </c>
      <c r="O1653" s="90"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0"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1"/>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59"/>
      <c r="Z1653" s="49"/>
      <c r="AA1653" s="37" t="str" cm="1">
        <f t="array" ref="AA1653">IFERROR(IF(INDEX(SubsidieTabel!$Q$1:$T$9,MATCH($F1653,SubsidieTabel!$Q$1:$Q$9,0),IFERROR(MATCH(Methode_Keuze,SubsidieTabel!$Q$1:$T$1,0),2))&lt;&gt;1=TRUE,"ja",""),"")</f>
        <v/>
      </c>
    </row>
    <row r="1654" spans="1:27" ht="15" customHeight="1" x14ac:dyDescent="0.25">
      <c r="A1654" s="85"/>
      <c r="B1654" s="217" t="str">
        <f>IF(A1654&lt;&gt;"",_xlfn.MAXIFS($B$1:B1653,$A$1:A1653,A1654)+1,"")</f>
        <v/>
      </c>
      <c r="C1654" s="50"/>
      <c r="D1654" s="50"/>
      <c r="E1654" s="50"/>
      <c r="F1654" s="50"/>
      <c r="G1654" s="280"/>
      <c r="H1654" s="293"/>
      <c r="I1654" s="292"/>
      <c r="J1654" s="292"/>
      <c r="K1654" s="200"/>
      <c r="L1654" s="200"/>
      <c r="M1654" s="89" t="str">
        <f>IFERROR(VLOOKUP(H1654,Lijsten!$H$1:$I$100,2,0),"")</f>
        <v/>
      </c>
      <c r="N1654" s="89" t="str" cm="1">
        <f t="array" ref="N1654">IFERROR(_xlfn.IFS(AND(LEFT(F1654,6)="Arbeid",RIGHT(F1654,3)&lt;&gt;"IKS"),IFERROR(VLOOKUP($G1654,Tb_KostenTypen[],2,0),"tarief"),RIGHT(F1654,3)="IKS","Uurtarief",LEFT(F1654,6)="Arbeid","Uurtarief",AND(LEFT(F1654,8)="Bijdrage",RIGHT(F1654,15)="(vrijwilligers)"),"Vast tarief"),"")</f>
        <v/>
      </c>
      <c r="O1654" s="90"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0"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1"/>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59"/>
      <c r="Z1654" s="49"/>
      <c r="AA1654" s="37" t="str" cm="1">
        <f t="array" ref="AA1654">IFERROR(IF(INDEX(SubsidieTabel!$Q$1:$T$9,MATCH($F1654,SubsidieTabel!$Q$1:$Q$9,0),IFERROR(MATCH(Methode_Keuze,SubsidieTabel!$Q$1:$T$1,0),2))&lt;&gt;1=TRUE,"ja",""),"")</f>
        <v/>
      </c>
    </row>
    <row r="1655" spans="1:27" ht="15" customHeight="1" x14ac:dyDescent="0.25">
      <c r="A1655" s="85"/>
      <c r="B1655" s="217" t="str">
        <f>IF(A1655&lt;&gt;"",_xlfn.MAXIFS($B$1:B1654,$A$1:A1654,A1655)+1,"")</f>
        <v/>
      </c>
      <c r="C1655" s="50"/>
      <c r="D1655" s="50"/>
      <c r="E1655" s="50"/>
      <c r="F1655" s="50"/>
      <c r="G1655" s="280"/>
      <c r="H1655" s="293"/>
      <c r="I1655" s="292"/>
      <c r="J1655" s="292"/>
      <c r="K1655" s="200"/>
      <c r="L1655" s="200"/>
      <c r="M1655" s="89" t="str">
        <f>IFERROR(VLOOKUP(H1655,Lijsten!$H$1:$I$100,2,0),"")</f>
        <v/>
      </c>
      <c r="N1655" s="89" t="str" cm="1">
        <f t="array" ref="N1655">IFERROR(_xlfn.IFS(AND(LEFT(F1655,6)="Arbeid",RIGHT(F1655,3)&lt;&gt;"IKS"),IFERROR(VLOOKUP($G1655,Tb_KostenTypen[],2,0),"tarief"),RIGHT(F1655,3)="IKS","Uurtarief",LEFT(F1655,6)="Arbeid","Uurtarief",AND(LEFT(F1655,8)="Bijdrage",RIGHT(F1655,15)="(vrijwilligers)"),"Vast tarief"),"")</f>
        <v/>
      </c>
      <c r="O1655" s="90"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0"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1"/>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59"/>
      <c r="Z1655" s="49"/>
      <c r="AA1655" s="37" t="str" cm="1">
        <f t="array" ref="AA1655">IFERROR(IF(INDEX(SubsidieTabel!$Q$1:$T$9,MATCH($F1655,SubsidieTabel!$Q$1:$Q$9,0),IFERROR(MATCH(Methode_Keuze,SubsidieTabel!$Q$1:$T$1,0),2))&lt;&gt;1=TRUE,"ja",""),"")</f>
        <v/>
      </c>
    </row>
    <row r="1656" spans="1:27" ht="15" customHeight="1" x14ac:dyDescent="0.25">
      <c r="A1656" s="85"/>
      <c r="B1656" s="217" t="str">
        <f>IF(A1656&lt;&gt;"",_xlfn.MAXIFS($B$1:B1655,$A$1:A1655,A1656)+1,"")</f>
        <v/>
      </c>
      <c r="C1656" s="50"/>
      <c r="D1656" s="50"/>
      <c r="E1656" s="50"/>
      <c r="F1656" s="50"/>
      <c r="G1656" s="280"/>
      <c r="H1656" s="293"/>
      <c r="I1656" s="292"/>
      <c r="J1656" s="292"/>
      <c r="K1656" s="200"/>
      <c r="L1656" s="200"/>
      <c r="M1656" s="89" t="str">
        <f>IFERROR(VLOOKUP(H1656,Lijsten!$H$1:$I$100,2,0),"")</f>
        <v/>
      </c>
      <c r="N1656" s="89" t="str" cm="1">
        <f t="array" ref="N1656">IFERROR(_xlfn.IFS(AND(LEFT(F1656,6)="Arbeid",RIGHT(F1656,3)&lt;&gt;"IKS"),IFERROR(VLOOKUP($G1656,Tb_KostenTypen[],2,0),"tarief"),RIGHT(F1656,3)="IKS","Uurtarief",LEFT(F1656,6)="Arbeid","Uurtarief",AND(LEFT(F1656,8)="Bijdrage",RIGHT(F1656,15)="(vrijwilligers)"),"Vast tarief"),"")</f>
        <v/>
      </c>
      <c r="O1656" s="90"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0"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1"/>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59"/>
      <c r="Z1656" s="49"/>
      <c r="AA1656" s="37" t="str" cm="1">
        <f t="array" ref="AA1656">IFERROR(IF(INDEX(SubsidieTabel!$Q$1:$T$9,MATCH($F1656,SubsidieTabel!$Q$1:$Q$9,0),IFERROR(MATCH(Methode_Keuze,SubsidieTabel!$Q$1:$T$1,0),2))&lt;&gt;1=TRUE,"ja",""),"")</f>
        <v/>
      </c>
    </row>
    <row r="1657" spans="1:27" ht="15" customHeight="1" x14ac:dyDescent="0.25">
      <c r="A1657" s="85"/>
      <c r="B1657" s="217" t="str">
        <f>IF(A1657&lt;&gt;"",_xlfn.MAXIFS($B$1:B1656,$A$1:A1656,A1657)+1,"")</f>
        <v/>
      </c>
      <c r="C1657" s="50"/>
      <c r="D1657" s="50"/>
      <c r="E1657" s="50"/>
      <c r="F1657" s="50"/>
      <c r="G1657" s="280"/>
      <c r="H1657" s="293"/>
      <c r="I1657" s="292"/>
      <c r="J1657" s="292"/>
      <c r="K1657" s="200"/>
      <c r="L1657" s="200"/>
      <c r="M1657" s="89" t="str">
        <f>IFERROR(VLOOKUP(H1657,Lijsten!$H$1:$I$100,2,0),"")</f>
        <v/>
      </c>
      <c r="N1657" s="89" t="str" cm="1">
        <f t="array" ref="N1657">IFERROR(_xlfn.IFS(AND(LEFT(F1657,6)="Arbeid",RIGHT(F1657,3)&lt;&gt;"IKS"),IFERROR(VLOOKUP($G1657,Tb_KostenTypen[],2,0),"tarief"),RIGHT(F1657,3)="IKS","Uurtarief",LEFT(F1657,6)="Arbeid","Uurtarief",AND(LEFT(F1657,8)="Bijdrage",RIGHT(F1657,15)="(vrijwilligers)"),"Vast tarief"),"")</f>
        <v/>
      </c>
      <c r="O1657" s="90"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0"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1"/>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59"/>
      <c r="Z1657" s="49"/>
      <c r="AA1657" s="37" t="str" cm="1">
        <f t="array" ref="AA1657">IFERROR(IF(INDEX(SubsidieTabel!$Q$1:$T$9,MATCH($F1657,SubsidieTabel!$Q$1:$Q$9,0),IFERROR(MATCH(Methode_Keuze,SubsidieTabel!$Q$1:$T$1,0),2))&lt;&gt;1=TRUE,"ja",""),"")</f>
        <v/>
      </c>
    </row>
    <row r="1658" spans="1:27" ht="15" customHeight="1" x14ac:dyDescent="0.25">
      <c r="A1658" s="85"/>
      <c r="B1658" s="217" t="str">
        <f>IF(A1658&lt;&gt;"",_xlfn.MAXIFS($B$1:B1657,$A$1:A1657,A1658)+1,"")</f>
        <v/>
      </c>
      <c r="C1658" s="50"/>
      <c r="D1658" s="50"/>
      <c r="E1658" s="50"/>
      <c r="F1658" s="50"/>
      <c r="G1658" s="280"/>
      <c r="H1658" s="293"/>
      <c r="I1658" s="292"/>
      <c r="J1658" s="292"/>
      <c r="K1658" s="200"/>
      <c r="L1658" s="200"/>
      <c r="M1658" s="89" t="str">
        <f>IFERROR(VLOOKUP(H1658,Lijsten!$H$1:$I$100,2,0),"")</f>
        <v/>
      </c>
      <c r="N1658" s="89" t="str" cm="1">
        <f t="array" ref="N1658">IFERROR(_xlfn.IFS(AND(LEFT(F1658,6)="Arbeid",RIGHT(F1658,3)&lt;&gt;"IKS"),IFERROR(VLOOKUP($G1658,Tb_KostenTypen[],2,0),"tarief"),RIGHT(F1658,3)="IKS","Uurtarief",LEFT(F1658,6)="Arbeid","Uurtarief",AND(LEFT(F1658,8)="Bijdrage",RIGHT(F1658,15)="(vrijwilligers)"),"Vast tarief"),"")</f>
        <v/>
      </c>
      <c r="O1658" s="90"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0"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1"/>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59"/>
      <c r="Z1658" s="49"/>
      <c r="AA1658" s="37" t="str" cm="1">
        <f t="array" ref="AA1658">IFERROR(IF(INDEX(SubsidieTabel!$Q$1:$T$9,MATCH($F1658,SubsidieTabel!$Q$1:$Q$9,0),IFERROR(MATCH(Methode_Keuze,SubsidieTabel!$Q$1:$T$1,0),2))&lt;&gt;1=TRUE,"ja",""),"")</f>
        <v/>
      </c>
    </row>
    <row r="1659" spans="1:27" ht="15" customHeight="1" x14ac:dyDescent="0.25">
      <c r="A1659" s="85"/>
      <c r="B1659" s="217" t="str">
        <f>IF(A1659&lt;&gt;"",_xlfn.MAXIFS($B$1:B1658,$A$1:A1658,A1659)+1,"")</f>
        <v/>
      </c>
      <c r="C1659" s="50"/>
      <c r="D1659" s="50"/>
      <c r="E1659" s="50"/>
      <c r="F1659" s="50"/>
      <c r="G1659" s="280"/>
      <c r="H1659" s="293"/>
      <c r="I1659" s="292"/>
      <c r="J1659" s="292"/>
      <c r="K1659" s="200"/>
      <c r="L1659" s="200"/>
      <c r="M1659" s="89" t="str">
        <f>IFERROR(VLOOKUP(H1659,Lijsten!$H$1:$I$100,2,0),"")</f>
        <v/>
      </c>
      <c r="N1659" s="89" t="str" cm="1">
        <f t="array" ref="N1659">IFERROR(_xlfn.IFS(AND(LEFT(F1659,6)="Arbeid",RIGHT(F1659,3)&lt;&gt;"IKS"),IFERROR(VLOOKUP($G1659,Tb_KostenTypen[],2,0),"tarief"),RIGHT(F1659,3)="IKS","Uurtarief",LEFT(F1659,6)="Arbeid","Uurtarief",AND(LEFT(F1659,8)="Bijdrage",RIGHT(F1659,15)="(vrijwilligers)"),"Vast tarief"),"")</f>
        <v/>
      </c>
      <c r="O1659" s="90"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0"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1"/>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59"/>
      <c r="Z1659" s="49"/>
      <c r="AA1659" s="37" t="str" cm="1">
        <f t="array" ref="AA1659">IFERROR(IF(INDEX(SubsidieTabel!$Q$1:$T$9,MATCH($F1659,SubsidieTabel!$Q$1:$Q$9,0),IFERROR(MATCH(Methode_Keuze,SubsidieTabel!$Q$1:$T$1,0),2))&lt;&gt;1=TRUE,"ja",""),"")</f>
        <v/>
      </c>
    </row>
    <row r="1660" spans="1:27" ht="15" customHeight="1" x14ac:dyDescent="0.25">
      <c r="A1660" s="85"/>
      <c r="B1660" s="217" t="str">
        <f>IF(A1660&lt;&gt;"",_xlfn.MAXIFS($B$1:B1659,$A$1:A1659,A1660)+1,"")</f>
        <v/>
      </c>
      <c r="C1660" s="50"/>
      <c r="D1660" s="50"/>
      <c r="E1660" s="50"/>
      <c r="F1660" s="50"/>
      <c r="G1660" s="280"/>
      <c r="H1660" s="293"/>
      <c r="I1660" s="292"/>
      <c r="J1660" s="292"/>
      <c r="K1660" s="200"/>
      <c r="L1660" s="200"/>
      <c r="M1660" s="89" t="str">
        <f>IFERROR(VLOOKUP(H1660,Lijsten!$H$1:$I$100,2,0),"")</f>
        <v/>
      </c>
      <c r="N1660" s="89" t="str" cm="1">
        <f t="array" ref="N1660">IFERROR(_xlfn.IFS(AND(LEFT(F1660,6)="Arbeid",RIGHT(F1660,3)&lt;&gt;"IKS"),IFERROR(VLOOKUP($G1660,Tb_KostenTypen[],2,0),"tarief"),RIGHT(F1660,3)="IKS","Uurtarief",LEFT(F1660,6)="Arbeid","Uurtarief",AND(LEFT(F1660,8)="Bijdrage",RIGHT(F1660,15)="(vrijwilligers)"),"Vast tarief"),"")</f>
        <v/>
      </c>
      <c r="O1660" s="90"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0"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1"/>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59"/>
      <c r="Z1660" s="49"/>
      <c r="AA1660" s="37" t="str" cm="1">
        <f t="array" ref="AA1660">IFERROR(IF(INDEX(SubsidieTabel!$Q$1:$T$9,MATCH($F1660,SubsidieTabel!$Q$1:$Q$9,0),IFERROR(MATCH(Methode_Keuze,SubsidieTabel!$Q$1:$T$1,0),2))&lt;&gt;1=TRUE,"ja",""),"")</f>
        <v/>
      </c>
    </row>
    <row r="1661" spans="1:27" ht="15" customHeight="1" x14ac:dyDescent="0.25">
      <c r="A1661" s="85"/>
      <c r="B1661" s="217" t="str">
        <f>IF(A1661&lt;&gt;"",_xlfn.MAXIFS($B$1:B1660,$A$1:A1660,A1661)+1,"")</f>
        <v/>
      </c>
      <c r="C1661" s="50"/>
      <c r="D1661" s="50"/>
      <c r="E1661" s="50"/>
      <c r="F1661" s="50"/>
      <c r="G1661" s="280"/>
      <c r="H1661" s="293"/>
      <c r="I1661" s="292"/>
      <c r="J1661" s="292"/>
      <c r="K1661" s="200"/>
      <c r="L1661" s="200"/>
      <c r="M1661" s="89" t="str">
        <f>IFERROR(VLOOKUP(H1661,Lijsten!$H$1:$I$100,2,0),"")</f>
        <v/>
      </c>
      <c r="N1661" s="89" t="str" cm="1">
        <f t="array" ref="N1661">IFERROR(_xlfn.IFS(AND(LEFT(F1661,6)="Arbeid",RIGHT(F1661,3)&lt;&gt;"IKS"),IFERROR(VLOOKUP($G1661,Tb_KostenTypen[],2,0),"tarief"),RIGHT(F1661,3)="IKS","Uurtarief",LEFT(F1661,6)="Arbeid","Uurtarief",AND(LEFT(F1661,8)="Bijdrage",RIGHT(F1661,15)="(vrijwilligers)"),"Vast tarief"),"")</f>
        <v/>
      </c>
      <c r="O1661" s="90"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0"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1"/>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59"/>
      <c r="Z1661" s="49"/>
      <c r="AA1661" s="37" t="str" cm="1">
        <f t="array" ref="AA1661">IFERROR(IF(INDEX(SubsidieTabel!$Q$1:$T$9,MATCH($F1661,SubsidieTabel!$Q$1:$Q$9,0),IFERROR(MATCH(Methode_Keuze,SubsidieTabel!$Q$1:$T$1,0),2))&lt;&gt;1=TRUE,"ja",""),"")</f>
        <v/>
      </c>
    </row>
    <row r="1662" spans="1:27" ht="15" customHeight="1" x14ac:dyDescent="0.25">
      <c r="A1662" s="85"/>
      <c r="B1662" s="217" t="str">
        <f>IF(A1662&lt;&gt;"",_xlfn.MAXIFS($B$1:B1661,$A$1:A1661,A1662)+1,"")</f>
        <v/>
      </c>
      <c r="C1662" s="50"/>
      <c r="D1662" s="50"/>
      <c r="E1662" s="50"/>
      <c r="F1662" s="50"/>
      <c r="G1662" s="280"/>
      <c r="H1662" s="293"/>
      <c r="I1662" s="292"/>
      <c r="J1662" s="292"/>
      <c r="K1662" s="200"/>
      <c r="L1662" s="200"/>
      <c r="M1662" s="89" t="str">
        <f>IFERROR(VLOOKUP(H1662,Lijsten!$H$1:$I$100,2,0),"")</f>
        <v/>
      </c>
      <c r="N1662" s="89" t="str" cm="1">
        <f t="array" ref="N1662">IFERROR(_xlfn.IFS(AND(LEFT(F1662,6)="Arbeid",RIGHT(F1662,3)&lt;&gt;"IKS"),IFERROR(VLOOKUP($G1662,Tb_KostenTypen[],2,0),"tarief"),RIGHT(F1662,3)="IKS","Uurtarief",LEFT(F1662,6)="Arbeid","Uurtarief",AND(LEFT(F1662,8)="Bijdrage",RIGHT(F1662,15)="(vrijwilligers)"),"Vast tarief"),"")</f>
        <v/>
      </c>
      <c r="O1662" s="90"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0"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1"/>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59"/>
      <c r="Z1662" s="49"/>
      <c r="AA1662" s="37" t="str" cm="1">
        <f t="array" ref="AA1662">IFERROR(IF(INDEX(SubsidieTabel!$Q$1:$T$9,MATCH($F1662,SubsidieTabel!$Q$1:$Q$9,0),IFERROR(MATCH(Methode_Keuze,SubsidieTabel!$Q$1:$T$1,0),2))&lt;&gt;1=TRUE,"ja",""),"")</f>
        <v/>
      </c>
    </row>
    <row r="1663" spans="1:27" ht="15" customHeight="1" x14ac:dyDescent="0.25">
      <c r="A1663" s="85"/>
      <c r="B1663" s="217" t="str">
        <f>IF(A1663&lt;&gt;"",_xlfn.MAXIFS($B$1:B1662,$A$1:A1662,A1663)+1,"")</f>
        <v/>
      </c>
      <c r="C1663" s="50"/>
      <c r="D1663" s="50"/>
      <c r="E1663" s="50"/>
      <c r="F1663" s="50"/>
      <c r="G1663" s="280"/>
      <c r="H1663" s="293"/>
      <c r="I1663" s="292"/>
      <c r="J1663" s="292"/>
      <c r="K1663" s="200"/>
      <c r="L1663" s="200"/>
      <c r="M1663" s="89" t="str">
        <f>IFERROR(VLOOKUP(H1663,Lijsten!$H$1:$I$100,2,0),"")</f>
        <v/>
      </c>
      <c r="N1663" s="89" t="str" cm="1">
        <f t="array" ref="N1663">IFERROR(_xlfn.IFS(AND(LEFT(F1663,6)="Arbeid",RIGHT(F1663,3)&lt;&gt;"IKS"),IFERROR(VLOOKUP($G1663,Tb_KostenTypen[],2,0),"tarief"),RIGHT(F1663,3)="IKS","Uurtarief",LEFT(F1663,6)="Arbeid","Uurtarief",AND(LEFT(F1663,8)="Bijdrage",RIGHT(F1663,15)="(vrijwilligers)"),"Vast tarief"),"")</f>
        <v/>
      </c>
      <c r="O1663" s="90"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0"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1"/>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59"/>
      <c r="Z1663" s="49"/>
      <c r="AA1663" s="37" t="str" cm="1">
        <f t="array" ref="AA1663">IFERROR(IF(INDEX(SubsidieTabel!$Q$1:$T$9,MATCH($F1663,SubsidieTabel!$Q$1:$Q$9,0),IFERROR(MATCH(Methode_Keuze,SubsidieTabel!$Q$1:$T$1,0),2))&lt;&gt;1=TRUE,"ja",""),"")</f>
        <v/>
      </c>
    </row>
    <row r="1664" spans="1:27" ht="15" customHeight="1" x14ac:dyDescent="0.25">
      <c r="A1664" s="85"/>
      <c r="B1664" s="217" t="str">
        <f>IF(A1664&lt;&gt;"",_xlfn.MAXIFS($B$1:B1663,$A$1:A1663,A1664)+1,"")</f>
        <v/>
      </c>
      <c r="C1664" s="50"/>
      <c r="D1664" s="50"/>
      <c r="E1664" s="50"/>
      <c r="F1664" s="50"/>
      <c r="G1664" s="280"/>
      <c r="H1664" s="293"/>
      <c r="I1664" s="292"/>
      <c r="J1664" s="292"/>
      <c r="K1664" s="200"/>
      <c r="L1664" s="200"/>
      <c r="M1664" s="89" t="str">
        <f>IFERROR(VLOOKUP(H1664,Lijsten!$H$1:$I$100,2,0),"")</f>
        <v/>
      </c>
      <c r="N1664" s="89" t="str" cm="1">
        <f t="array" ref="N1664">IFERROR(_xlfn.IFS(AND(LEFT(F1664,6)="Arbeid",RIGHT(F1664,3)&lt;&gt;"IKS"),IFERROR(VLOOKUP($G1664,Tb_KostenTypen[],2,0),"tarief"),RIGHT(F1664,3)="IKS","Uurtarief",LEFT(F1664,6)="Arbeid","Uurtarief",AND(LEFT(F1664,8)="Bijdrage",RIGHT(F1664,15)="(vrijwilligers)"),"Vast tarief"),"")</f>
        <v/>
      </c>
      <c r="O1664" s="90"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0"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1"/>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59"/>
      <c r="Z1664" s="49"/>
      <c r="AA1664" s="37" t="str" cm="1">
        <f t="array" ref="AA1664">IFERROR(IF(INDEX(SubsidieTabel!$Q$1:$T$9,MATCH($F1664,SubsidieTabel!$Q$1:$Q$9,0),IFERROR(MATCH(Methode_Keuze,SubsidieTabel!$Q$1:$T$1,0),2))&lt;&gt;1=TRUE,"ja",""),"")</f>
        <v/>
      </c>
    </row>
    <row r="1665" spans="1:27" ht="15" customHeight="1" x14ac:dyDescent="0.25">
      <c r="A1665" s="85"/>
      <c r="B1665" s="217" t="str">
        <f>IF(A1665&lt;&gt;"",_xlfn.MAXIFS($B$1:B1664,$A$1:A1664,A1665)+1,"")</f>
        <v/>
      </c>
      <c r="C1665" s="50"/>
      <c r="D1665" s="50"/>
      <c r="E1665" s="50"/>
      <c r="F1665" s="50"/>
      <c r="G1665" s="280"/>
      <c r="H1665" s="293"/>
      <c r="I1665" s="292"/>
      <c r="J1665" s="292"/>
      <c r="K1665" s="200"/>
      <c r="L1665" s="200"/>
      <c r="M1665" s="89" t="str">
        <f>IFERROR(VLOOKUP(H1665,Lijsten!$H$1:$I$100,2,0),"")</f>
        <v/>
      </c>
      <c r="N1665" s="89" t="str" cm="1">
        <f t="array" ref="N1665">IFERROR(_xlfn.IFS(AND(LEFT(F1665,6)="Arbeid",RIGHT(F1665,3)&lt;&gt;"IKS"),IFERROR(VLOOKUP($G1665,Tb_KostenTypen[],2,0),"tarief"),RIGHT(F1665,3)="IKS","Uurtarief",LEFT(F1665,6)="Arbeid","Uurtarief",AND(LEFT(F1665,8)="Bijdrage",RIGHT(F1665,15)="(vrijwilligers)"),"Vast tarief"),"")</f>
        <v/>
      </c>
      <c r="O1665" s="90"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0"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1"/>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59"/>
      <c r="Z1665" s="49"/>
      <c r="AA1665" s="37" t="str" cm="1">
        <f t="array" ref="AA1665">IFERROR(IF(INDEX(SubsidieTabel!$Q$1:$T$9,MATCH($F1665,SubsidieTabel!$Q$1:$Q$9,0),IFERROR(MATCH(Methode_Keuze,SubsidieTabel!$Q$1:$T$1,0),2))&lt;&gt;1=TRUE,"ja",""),"")</f>
        <v/>
      </c>
    </row>
    <row r="1666" spans="1:27" ht="15" customHeight="1" x14ac:dyDescent="0.25">
      <c r="A1666" s="85"/>
      <c r="B1666" s="217" t="str">
        <f>IF(A1666&lt;&gt;"",_xlfn.MAXIFS($B$1:B1665,$A$1:A1665,A1666)+1,"")</f>
        <v/>
      </c>
      <c r="C1666" s="50"/>
      <c r="D1666" s="50"/>
      <c r="E1666" s="50"/>
      <c r="F1666" s="50"/>
      <c r="G1666" s="280"/>
      <c r="H1666" s="293"/>
      <c r="I1666" s="292"/>
      <c r="J1666" s="292"/>
      <c r="K1666" s="200"/>
      <c r="L1666" s="200"/>
      <c r="M1666" s="89" t="str">
        <f>IFERROR(VLOOKUP(H1666,Lijsten!$H$1:$I$100,2,0),"")</f>
        <v/>
      </c>
      <c r="N1666" s="89" t="str" cm="1">
        <f t="array" ref="N1666">IFERROR(_xlfn.IFS(AND(LEFT(F1666,6)="Arbeid",RIGHT(F1666,3)&lt;&gt;"IKS"),IFERROR(VLOOKUP($G1666,Tb_KostenTypen[],2,0),"tarief"),RIGHT(F1666,3)="IKS","Uurtarief",LEFT(F1666,6)="Arbeid","Uurtarief",AND(LEFT(F1666,8)="Bijdrage",RIGHT(F1666,15)="(vrijwilligers)"),"Vast tarief"),"")</f>
        <v/>
      </c>
      <c r="O1666" s="90"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0"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1"/>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59"/>
      <c r="Z1666" s="49"/>
      <c r="AA1666" s="37" t="str" cm="1">
        <f t="array" ref="AA1666">IFERROR(IF(INDEX(SubsidieTabel!$Q$1:$T$9,MATCH($F1666,SubsidieTabel!$Q$1:$Q$9,0),IFERROR(MATCH(Methode_Keuze,SubsidieTabel!$Q$1:$T$1,0),2))&lt;&gt;1=TRUE,"ja",""),"")</f>
        <v/>
      </c>
    </row>
    <row r="1667" spans="1:27" ht="15" customHeight="1" x14ac:dyDescent="0.25">
      <c r="A1667" s="85"/>
      <c r="B1667" s="217" t="str">
        <f>IF(A1667&lt;&gt;"",_xlfn.MAXIFS($B$1:B1666,$A$1:A1666,A1667)+1,"")</f>
        <v/>
      </c>
      <c r="C1667" s="50"/>
      <c r="D1667" s="50"/>
      <c r="E1667" s="50"/>
      <c r="F1667" s="50"/>
      <c r="G1667" s="280"/>
      <c r="H1667" s="293"/>
      <c r="I1667" s="292"/>
      <c r="J1667" s="292"/>
      <c r="K1667" s="200"/>
      <c r="L1667" s="200"/>
      <c r="M1667" s="89" t="str">
        <f>IFERROR(VLOOKUP(H1667,Lijsten!$H$1:$I$100,2,0),"")</f>
        <v/>
      </c>
      <c r="N1667" s="89" t="str" cm="1">
        <f t="array" ref="N1667">IFERROR(_xlfn.IFS(AND(LEFT(F1667,6)="Arbeid",RIGHT(F1667,3)&lt;&gt;"IKS"),IFERROR(VLOOKUP($G1667,Tb_KostenTypen[],2,0),"tarief"),RIGHT(F1667,3)="IKS","Uurtarief",LEFT(F1667,6)="Arbeid","Uurtarief",AND(LEFT(F1667,8)="Bijdrage",RIGHT(F1667,15)="(vrijwilligers)"),"Vast tarief"),"")</f>
        <v/>
      </c>
      <c r="O1667" s="90"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0"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1"/>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59"/>
      <c r="Z1667" s="49"/>
      <c r="AA1667" s="37" t="str" cm="1">
        <f t="array" ref="AA1667">IFERROR(IF(INDEX(SubsidieTabel!$Q$1:$T$9,MATCH($F1667,SubsidieTabel!$Q$1:$Q$9,0),IFERROR(MATCH(Methode_Keuze,SubsidieTabel!$Q$1:$T$1,0),2))&lt;&gt;1=TRUE,"ja",""),"")</f>
        <v/>
      </c>
    </row>
    <row r="1668" spans="1:27" ht="15" customHeight="1" x14ac:dyDescent="0.25">
      <c r="A1668" s="85"/>
      <c r="B1668" s="217" t="str">
        <f>IF(A1668&lt;&gt;"",_xlfn.MAXIFS($B$1:B1667,$A$1:A1667,A1668)+1,"")</f>
        <v/>
      </c>
      <c r="C1668" s="50"/>
      <c r="D1668" s="50"/>
      <c r="E1668" s="50"/>
      <c r="F1668" s="50"/>
      <c r="G1668" s="280"/>
      <c r="H1668" s="293"/>
      <c r="I1668" s="292"/>
      <c r="J1668" s="292"/>
      <c r="K1668" s="200"/>
      <c r="L1668" s="200"/>
      <c r="M1668" s="89" t="str">
        <f>IFERROR(VLOOKUP(H1668,Lijsten!$H$1:$I$100,2,0),"")</f>
        <v/>
      </c>
      <c r="N1668" s="89" t="str" cm="1">
        <f t="array" ref="N1668">IFERROR(_xlfn.IFS(AND(LEFT(F1668,6)="Arbeid",RIGHT(F1668,3)&lt;&gt;"IKS"),IFERROR(VLOOKUP($G1668,Tb_KostenTypen[],2,0),"tarief"),RIGHT(F1668,3)="IKS","Uurtarief",LEFT(F1668,6)="Arbeid","Uurtarief",AND(LEFT(F1668,8)="Bijdrage",RIGHT(F1668,15)="(vrijwilligers)"),"Vast tarief"),"")</f>
        <v/>
      </c>
      <c r="O1668" s="90"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0"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1"/>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59"/>
      <c r="Z1668" s="49"/>
      <c r="AA1668" s="37" t="str" cm="1">
        <f t="array" ref="AA1668">IFERROR(IF(INDEX(SubsidieTabel!$Q$1:$T$9,MATCH($F1668,SubsidieTabel!$Q$1:$Q$9,0),IFERROR(MATCH(Methode_Keuze,SubsidieTabel!$Q$1:$T$1,0),2))&lt;&gt;1=TRUE,"ja",""),"")</f>
        <v/>
      </c>
    </row>
    <row r="1669" spans="1:27" ht="15" customHeight="1" x14ac:dyDescent="0.25">
      <c r="A1669" s="85"/>
      <c r="B1669" s="217" t="str">
        <f>IF(A1669&lt;&gt;"",_xlfn.MAXIFS($B$1:B1668,$A$1:A1668,A1669)+1,"")</f>
        <v/>
      </c>
      <c r="C1669" s="50"/>
      <c r="D1669" s="50"/>
      <c r="E1669" s="50"/>
      <c r="F1669" s="50"/>
      <c r="G1669" s="280"/>
      <c r="H1669" s="293"/>
      <c r="I1669" s="292"/>
      <c r="J1669" s="292"/>
      <c r="K1669" s="200"/>
      <c r="L1669" s="200"/>
      <c r="M1669" s="89" t="str">
        <f>IFERROR(VLOOKUP(H1669,Lijsten!$H$1:$I$100,2,0),"")</f>
        <v/>
      </c>
      <c r="N1669" s="89" t="str" cm="1">
        <f t="array" ref="N1669">IFERROR(_xlfn.IFS(AND(LEFT(F1669,6)="Arbeid",RIGHT(F1669,3)&lt;&gt;"IKS"),IFERROR(VLOOKUP($G1669,Tb_KostenTypen[],2,0),"tarief"),RIGHT(F1669,3)="IKS","Uurtarief",LEFT(F1669,6)="Arbeid","Uurtarief",AND(LEFT(F1669,8)="Bijdrage",RIGHT(F1669,15)="(vrijwilligers)"),"Vast tarief"),"")</f>
        <v/>
      </c>
      <c r="O1669" s="90"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0"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1"/>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59"/>
      <c r="Z1669" s="49"/>
      <c r="AA1669" s="37" t="str" cm="1">
        <f t="array" ref="AA1669">IFERROR(IF(INDEX(SubsidieTabel!$Q$1:$T$9,MATCH($F1669,SubsidieTabel!$Q$1:$Q$9,0),IFERROR(MATCH(Methode_Keuze,SubsidieTabel!$Q$1:$T$1,0),2))&lt;&gt;1=TRUE,"ja",""),"")</f>
        <v/>
      </c>
    </row>
    <row r="1670" spans="1:27" ht="15" customHeight="1" x14ac:dyDescent="0.25">
      <c r="A1670" s="85"/>
      <c r="B1670" s="217" t="str">
        <f>IF(A1670&lt;&gt;"",_xlfn.MAXIFS($B$1:B1669,$A$1:A1669,A1670)+1,"")</f>
        <v/>
      </c>
      <c r="C1670" s="50"/>
      <c r="D1670" s="50"/>
      <c r="E1670" s="50"/>
      <c r="F1670" s="50"/>
      <c r="G1670" s="280"/>
      <c r="H1670" s="293"/>
      <c r="I1670" s="292"/>
      <c r="J1670" s="292"/>
      <c r="K1670" s="200"/>
      <c r="L1670" s="200"/>
      <c r="M1670" s="89" t="str">
        <f>IFERROR(VLOOKUP(H1670,Lijsten!$H$1:$I$100,2,0),"")</f>
        <v/>
      </c>
      <c r="N1670" s="89" t="str" cm="1">
        <f t="array" ref="N1670">IFERROR(_xlfn.IFS(AND(LEFT(F1670,6)="Arbeid",RIGHT(F1670,3)&lt;&gt;"IKS"),IFERROR(VLOOKUP($G1670,Tb_KostenTypen[],2,0),"tarief"),RIGHT(F1670,3)="IKS","Uurtarief",LEFT(F1670,6)="Arbeid","Uurtarief",AND(LEFT(F1670,8)="Bijdrage",RIGHT(F1670,15)="(vrijwilligers)"),"Vast tarief"),"")</f>
        <v/>
      </c>
      <c r="O1670" s="90"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0"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1"/>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59"/>
      <c r="Z1670" s="49"/>
      <c r="AA1670" s="37" t="str" cm="1">
        <f t="array" ref="AA1670">IFERROR(IF(INDEX(SubsidieTabel!$Q$1:$T$9,MATCH($F1670,SubsidieTabel!$Q$1:$Q$9,0),IFERROR(MATCH(Methode_Keuze,SubsidieTabel!$Q$1:$T$1,0),2))&lt;&gt;1=TRUE,"ja",""),"")</f>
        <v/>
      </c>
    </row>
    <row r="1671" spans="1:27" ht="15" customHeight="1" x14ac:dyDescent="0.25">
      <c r="A1671" s="85"/>
      <c r="B1671" s="217" t="str">
        <f>IF(A1671&lt;&gt;"",_xlfn.MAXIFS($B$1:B1670,$A$1:A1670,A1671)+1,"")</f>
        <v/>
      </c>
      <c r="C1671" s="50"/>
      <c r="D1671" s="50"/>
      <c r="E1671" s="50"/>
      <c r="F1671" s="50"/>
      <c r="G1671" s="280"/>
      <c r="H1671" s="293"/>
      <c r="I1671" s="292"/>
      <c r="J1671" s="292"/>
      <c r="K1671" s="200"/>
      <c r="L1671" s="200"/>
      <c r="M1671" s="89" t="str">
        <f>IFERROR(VLOOKUP(H1671,Lijsten!$H$1:$I$100,2,0),"")</f>
        <v/>
      </c>
      <c r="N1671" s="89" t="str" cm="1">
        <f t="array" ref="N1671">IFERROR(_xlfn.IFS(AND(LEFT(F1671,6)="Arbeid",RIGHT(F1671,3)&lt;&gt;"IKS"),IFERROR(VLOOKUP($G1671,Tb_KostenTypen[],2,0),"tarief"),RIGHT(F1671,3)="IKS","Uurtarief",LEFT(F1671,6)="Arbeid","Uurtarief",AND(LEFT(F1671,8)="Bijdrage",RIGHT(F1671,15)="(vrijwilligers)"),"Vast tarief"),"")</f>
        <v/>
      </c>
      <c r="O1671" s="90"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0"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1"/>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59"/>
      <c r="Z1671" s="49"/>
      <c r="AA1671" s="37" t="str" cm="1">
        <f t="array" ref="AA1671">IFERROR(IF(INDEX(SubsidieTabel!$Q$1:$T$9,MATCH($F1671,SubsidieTabel!$Q$1:$Q$9,0),IFERROR(MATCH(Methode_Keuze,SubsidieTabel!$Q$1:$T$1,0),2))&lt;&gt;1=TRUE,"ja",""),"")</f>
        <v/>
      </c>
    </row>
    <row r="1672" spans="1:27" ht="15" customHeight="1" x14ac:dyDescent="0.25">
      <c r="A1672" s="85"/>
      <c r="B1672" s="217" t="str">
        <f>IF(A1672&lt;&gt;"",_xlfn.MAXIFS($B$1:B1671,$A$1:A1671,A1672)+1,"")</f>
        <v/>
      </c>
      <c r="C1672" s="50"/>
      <c r="D1672" s="50"/>
      <c r="E1672" s="50"/>
      <c r="F1672" s="50"/>
      <c r="G1672" s="280"/>
      <c r="H1672" s="293"/>
      <c r="I1672" s="292"/>
      <c r="J1672" s="292"/>
      <c r="K1672" s="200"/>
      <c r="L1672" s="200"/>
      <c r="M1672" s="89" t="str">
        <f>IFERROR(VLOOKUP(H1672,Lijsten!$H$1:$I$100,2,0),"")</f>
        <v/>
      </c>
      <c r="N1672" s="89" t="str" cm="1">
        <f t="array" ref="N1672">IFERROR(_xlfn.IFS(AND(LEFT(F1672,6)="Arbeid",RIGHT(F1672,3)&lt;&gt;"IKS"),IFERROR(VLOOKUP($G1672,Tb_KostenTypen[],2,0),"tarief"),RIGHT(F1672,3)="IKS","Uurtarief",LEFT(F1672,6)="Arbeid","Uurtarief",AND(LEFT(F1672,8)="Bijdrage",RIGHT(F1672,15)="(vrijwilligers)"),"Vast tarief"),"")</f>
        <v/>
      </c>
      <c r="O1672" s="90"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0"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1"/>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59"/>
      <c r="Z1672" s="49"/>
      <c r="AA1672" s="37" t="str" cm="1">
        <f t="array" ref="AA1672">IFERROR(IF(INDEX(SubsidieTabel!$Q$1:$T$9,MATCH($F1672,SubsidieTabel!$Q$1:$Q$9,0),IFERROR(MATCH(Methode_Keuze,SubsidieTabel!$Q$1:$T$1,0),2))&lt;&gt;1=TRUE,"ja",""),"")</f>
        <v/>
      </c>
    </row>
    <row r="1673" spans="1:27" ht="15" customHeight="1" x14ac:dyDescent="0.25">
      <c r="A1673" s="85"/>
      <c r="B1673" s="217" t="str">
        <f>IF(A1673&lt;&gt;"",_xlfn.MAXIFS($B$1:B1672,$A$1:A1672,A1673)+1,"")</f>
        <v/>
      </c>
      <c r="C1673" s="50"/>
      <c r="D1673" s="50"/>
      <c r="E1673" s="50"/>
      <c r="F1673" s="50"/>
      <c r="G1673" s="280"/>
      <c r="H1673" s="293"/>
      <c r="I1673" s="292"/>
      <c r="J1673" s="292"/>
      <c r="K1673" s="200"/>
      <c r="L1673" s="200"/>
      <c r="M1673" s="89" t="str">
        <f>IFERROR(VLOOKUP(H1673,Lijsten!$H$1:$I$100,2,0),"")</f>
        <v/>
      </c>
      <c r="N1673" s="89" t="str" cm="1">
        <f t="array" ref="N1673">IFERROR(_xlfn.IFS(AND(LEFT(F1673,6)="Arbeid",RIGHT(F1673,3)&lt;&gt;"IKS"),IFERROR(VLOOKUP($G1673,Tb_KostenTypen[],2,0),"tarief"),RIGHT(F1673,3)="IKS","Uurtarief",LEFT(F1673,6)="Arbeid","Uurtarief",AND(LEFT(F1673,8)="Bijdrage",RIGHT(F1673,15)="(vrijwilligers)"),"Vast tarief"),"")</f>
        <v/>
      </c>
      <c r="O1673" s="90"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0"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1"/>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59"/>
      <c r="Z1673" s="49"/>
      <c r="AA1673" s="37" t="str" cm="1">
        <f t="array" ref="AA1673">IFERROR(IF(INDEX(SubsidieTabel!$Q$1:$T$9,MATCH($F1673,SubsidieTabel!$Q$1:$Q$9,0),IFERROR(MATCH(Methode_Keuze,SubsidieTabel!$Q$1:$T$1,0),2))&lt;&gt;1=TRUE,"ja",""),"")</f>
        <v/>
      </c>
    </row>
    <row r="1674" spans="1:27" ht="15" customHeight="1" x14ac:dyDescent="0.25">
      <c r="A1674" s="85"/>
      <c r="B1674" s="217" t="str">
        <f>IF(A1674&lt;&gt;"",_xlfn.MAXIFS($B$1:B1673,$A$1:A1673,A1674)+1,"")</f>
        <v/>
      </c>
      <c r="C1674" s="50"/>
      <c r="D1674" s="50"/>
      <c r="E1674" s="50"/>
      <c r="F1674" s="50"/>
      <c r="G1674" s="280"/>
      <c r="H1674" s="293"/>
      <c r="I1674" s="292"/>
      <c r="J1674" s="292"/>
      <c r="K1674" s="200"/>
      <c r="L1674" s="200"/>
      <c r="M1674" s="89" t="str">
        <f>IFERROR(VLOOKUP(H1674,Lijsten!$H$1:$I$100,2,0),"")</f>
        <v/>
      </c>
      <c r="N1674" s="89" t="str" cm="1">
        <f t="array" ref="N1674">IFERROR(_xlfn.IFS(AND(LEFT(F1674,6)="Arbeid",RIGHT(F1674,3)&lt;&gt;"IKS"),IFERROR(VLOOKUP($G1674,Tb_KostenTypen[],2,0),"tarief"),RIGHT(F1674,3)="IKS","Uurtarief",LEFT(F1674,6)="Arbeid","Uurtarief",AND(LEFT(F1674,8)="Bijdrage",RIGHT(F1674,15)="(vrijwilligers)"),"Vast tarief"),"")</f>
        <v/>
      </c>
      <c r="O1674" s="90"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0"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1"/>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59"/>
      <c r="Z1674" s="49"/>
      <c r="AA1674" s="37" t="str" cm="1">
        <f t="array" ref="AA1674">IFERROR(IF(INDEX(SubsidieTabel!$Q$1:$T$9,MATCH($F1674,SubsidieTabel!$Q$1:$Q$9,0),IFERROR(MATCH(Methode_Keuze,SubsidieTabel!$Q$1:$T$1,0),2))&lt;&gt;1=TRUE,"ja",""),"")</f>
        <v/>
      </c>
    </row>
    <row r="1675" spans="1:27" ht="15" customHeight="1" x14ac:dyDescent="0.25">
      <c r="A1675" s="85"/>
      <c r="B1675" s="217" t="str">
        <f>IF(A1675&lt;&gt;"",_xlfn.MAXIFS($B$1:B1674,$A$1:A1674,A1675)+1,"")</f>
        <v/>
      </c>
      <c r="C1675" s="50"/>
      <c r="D1675" s="50"/>
      <c r="E1675" s="50"/>
      <c r="F1675" s="50"/>
      <c r="G1675" s="280"/>
      <c r="H1675" s="293"/>
      <c r="I1675" s="292"/>
      <c r="J1675" s="292"/>
      <c r="K1675" s="200"/>
      <c r="L1675" s="200"/>
      <c r="M1675" s="89" t="str">
        <f>IFERROR(VLOOKUP(H1675,Lijsten!$H$1:$I$100,2,0),"")</f>
        <v/>
      </c>
      <c r="N1675" s="89" t="str" cm="1">
        <f t="array" ref="N1675">IFERROR(_xlfn.IFS(AND(LEFT(F1675,6)="Arbeid",RIGHT(F1675,3)&lt;&gt;"IKS"),IFERROR(VLOOKUP($G1675,Tb_KostenTypen[],2,0),"tarief"),RIGHT(F1675,3)="IKS","Uurtarief",LEFT(F1675,6)="Arbeid","Uurtarief",AND(LEFT(F1675,8)="Bijdrage",RIGHT(F1675,15)="(vrijwilligers)"),"Vast tarief"),"")</f>
        <v/>
      </c>
      <c r="O1675" s="90"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0"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1"/>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59"/>
      <c r="Z1675" s="49"/>
      <c r="AA1675" s="37" t="str" cm="1">
        <f t="array" ref="AA1675">IFERROR(IF(INDEX(SubsidieTabel!$Q$1:$T$9,MATCH($F1675,SubsidieTabel!$Q$1:$Q$9,0),IFERROR(MATCH(Methode_Keuze,SubsidieTabel!$Q$1:$T$1,0),2))&lt;&gt;1=TRUE,"ja",""),"")</f>
        <v/>
      </c>
    </row>
    <row r="1676" spans="1:27" ht="15" customHeight="1" x14ac:dyDescent="0.25">
      <c r="A1676" s="85"/>
      <c r="B1676" s="217" t="str">
        <f>IF(A1676&lt;&gt;"",_xlfn.MAXIFS($B$1:B1675,$A$1:A1675,A1676)+1,"")</f>
        <v/>
      </c>
      <c r="C1676" s="50"/>
      <c r="D1676" s="50"/>
      <c r="E1676" s="50"/>
      <c r="F1676" s="50"/>
      <c r="G1676" s="280"/>
      <c r="H1676" s="293"/>
      <c r="I1676" s="292"/>
      <c r="J1676" s="292"/>
      <c r="K1676" s="200"/>
      <c r="L1676" s="200"/>
      <c r="M1676" s="89" t="str">
        <f>IFERROR(VLOOKUP(H1676,Lijsten!$H$1:$I$100,2,0),"")</f>
        <v/>
      </c>
      <c r="N1676" s="89" t="str" cm="1">
        <f t="array" ref="N1676">IFERROR(_xlfn.IFS(AND(LEFT(F1676,6)="Arbeid",RIGHT(F1676,3)&lt;&gt;"IKS"),IFERROR(VLOOKUP($G1676,Tb_KostenTypen[],2,0),"tarief"),RIGHT(F1676,3)="IKS","Uurtarief",LEFT(F1676,6)="Arbeid","Uurtarief",AND(LEFT(F1676,8)="Bijdrage",RIGHT(F1676,15)="(vrijwilligers)"),"Vast tarief"),"")</f>
        <v/>
      </c>
      <c r="O1676" s="90"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0"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1"/>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59"/>
      <c r="Z1676" s="49"/>
      <c r="AA1676" s="37" t="str" cm="1">
        <f t="array" ref="AA1676">IFERROR(IF(INDEX(SubsidieTabel!$Q$1:$T$9,MATCH($F1676,SubsidieTabel!$Q$1:$Q$9,0),IFERROR(MATCH(Methode_Keuze,SubsidieTabel!$Q$1:$T$1,0),2))&lt;&gt;1=TRUE,"ja",""),"")</f>
        <v/>
      </c>
    </row>
    <row r="1677" spans="1:27" ht="15" customHeight="1" x14ac:dyDescent="0.25">
      <c r="A1677" s="85"/>
      <c r="B1677" s="217" t="str">
        <f>IF(A1677&lt;&gt;"",_xlfn.MAXIFS($B$1:B1676,$A$1:A1676,A1677)+1,"")</f>
        <v/>
      </c>
      <c r="C1677" s="50"/>
      <c r="D1677" s="50"/>
      <c r="E1677" s="50"/>
      <c r="F1677" s="50"/>
      <c r="G1677" s="280"/>
      <c r="H1677" s="293"/>
      <c r="I1677" s="292"/>
      <c r="J1677" s="292"/>
      <c r="K1677" s="200"/>
      <c r="L1677" s="200"/>
      <c r="M1677" s="89" t="str">
        <f>IFERROR(VLOOKUP(H1677,Lijsten!$H$1:$I$100,2,0),"")</f>
        <v/>
      </c>
      <c r="N1677" s="89" t="str" cm="1">
        <f t="array" ref="N1677">IFERROR(_xlfn.IFS(AND(LEFT(F1677,6)="Arbeid",RIGHT(F1677,3)&lt;&gt;"IKS"),IFERROR(VLOOKUP($G1677,Tb_KostenTypen[],2,0),"tarief"),RIGHT(F1677,3)="IKS","Uurtarief",LEFT(F1677,6)="Arbeid","Uurtarief",AND(LEFT(F1677,8)="Bijdrage",RIGHT(F1677,15)="(vrijwilligers)"),"Vast tarief"),"")</f>
        <v/>
      </c>
      <c r="O1677" s="90"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0"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1"/>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59"/>
      <c r="Z1677" s="49"/>
      <c r="AA1677" s="37" t="str" cm="1">
        <f t="array" ref="AA1677">IFERROR(IF(INDEX(SubsidieTabel!$Q$1:$T$9,MATCH($F1677,SubsidieTabel!$Q$1:$Q$9,0),IFERROR(MATCH(Methode_Keuze,SubsidieTabel!$Q$1:$T$1,0),2))&lt;&gt;1=TRUE,"ja",""),"")</f>
        <v/>
      </c>
    </row>
    <row r="1678" spans="1:27" ht="15" customHeight="1" x14ac:dyDescent="0.25">
      <c r="A1678" s="85"/>
      <c r="B1678" s="217" t="str">
        <f>IF(A1678&lt;&gt;"",_xlfn.MAXIFS($B$1:B1677,$A$1:A1677,A1678)+1,"")</f>
        <v/>
      </c>
      <c r="C1678" s="50"/>
      <c r="D1678" s="50"/>
      <c r="E1678" s="50"/>
      <c r="F1678" s="50"/>
      <c r="G1678" s="280"/>
      <c r="H1678" s="293"/>
      <c r="I1678" s="292"/>
      <c r="J1678" s="292"/>
      <c r="K1678" s="200"/>
      <c r="L1678" s="200"/>
      <c r="M1678" s="89" t="str">
        <f>IFERROR(VLOOKUP(H1678,Lijsten!$H$1:$I$100,2,0),"")</f>
        <v/>
      </c>
      <c r="N1678" s="89" t="str" cm="1">
        <f t="array" ref="N1678">IFERROR(_xlfn.IFS(AND(LEFT(F1678,6)="Arbeid",RIGHT(F1678,3)&lt;&gt;"IKS"),IFERROR(VLOOKUP($G1678,Tb_KostenTypen[],2,0),"tarief"),RIGHT(F1678,3)="IKS","Uurtarief",LEFT(F1678,6)="Arbeid","Uurtarief",AND(LEFT(F1678,8)="Bijdrage",RIGHT(F1678,15)="(vrijwilligers)"),"Vast tarief"),"")</f>
        <v/>
      </c>
      <c r="O1678" s="90"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0"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1"/>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59"/>
      <c r="Z1678" s="49"/>
      <c r="AA1678" s="37" t="str" cm="1">
        <f t="array" ref="AA1678">IFERROR(IF(INDEX(SubsidieTabel!$Q$1:$T$9,MATCH($F1678,SubsidieTabel!$Q$1:$Q$9,0),IFERROR(MATCH(Methode_Keuze,SubsidieTabel!$Q$1:$T$1,0),2))&lt;&gt;1=TRUE,"ja",""),"")</f>
        <v/>
      </c>
    </row>
    <row r="1679" spans="1:27" ht="15" customHeight="1" x14ac:dyDescent="0.25">
      <c r="A1679" s="85"/>
      <c r="B1679" s="217" t="str">
        <f>IF(A1679&lt;&gt;"",_xlfn.MAXIFS($B$1:B1678,$A$1:A1678,A1679)+1,"")</f>
        <v/>
      </c>
      <c r="C1679" s="50"/>
      <c r="D1679" s="50"/>
      <c r="E1679" s="50"/>
      <c r="F1679" s="50"/>
      <c r="G1679" s="280"/>
      <c r="H1679" s="293"/>
      <c r="I1679" s="292"/>
      <c r="J1679" s="292"/>
      <c r="K1679" s="200"/>
      <c r="L1679" s="200"/>
      <c r="M1679" s="89" t="str">
        <f>IFERROR(VLOOKUP(H1679,Lijsten!$H$1:$I$100,2,0),"")</f>
        <v/>
      </c>
      <c r="N1679" s="89" t="str" cm="1">
        <f t="array" ref="N1679">IFERROR(_xlfn.IFS(AND(LEFT(F1679,6)="Arbeid",RIGHT(F1679,3)&lt;&gt;"IKS"),IFERROR(VLOOKUP($G1679,Tb_KostenTypen[],2,0),"tarief"),RIGHT(F1679,3)="IKS","Uurtarief",LEFT(F1679,6)="Arbeid","Uurtarief",AND(LEFT(F1679,8)="Bijdrage",RIGHT(F1679,15)="(vrijwilligers)"),"Vast tarief"),"")</f>
        <v/>
      </c>
      <c r="O1679" s="90"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0"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1"/>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59"/>
      <c r="Z1679" s="49"/>
      <c r="AA1679" s="37" t="str" cm="1">
        <f t="array" ref="AA1679">IFERROR(IF(INDEX(SubsidieTabel!$Q$1:$T$9,MATCH($F1679,SubsidieTabel!$Q$1:$Q$9,0),IFERROR(MATCH(Methode_Keuze,SubsidieTabel!$Q$1:$T$1,0),2))&lt;&gt;1=TRUE,"ja",""),"")</f>
        <v/>
      </c>
    </row>
    <row r="1680" spans="1:27" ht="15" customHeight="1" x14ac:dyDescent="0.25">
      <c r="A1680" s="85"/>
      <c r="B1680" s="217" t="str">
        <f>IF(A1680&lt;&gt;"",_xlfn.MAXIFS($B$1:B1679,$A$1:A1679,A1680)+1,"")</f>
        <v/>
      </c>
      <c r="C1680" s="50"/>
      <c r="D1680" s="50"/>
      <c r="E1680" s="50"/>
      <c r="F1680" s="50"/>
      <c r="G1680" s="280"/>
      <c r="H1680" s="293"/>
      <c r="I1680" s="292"/>
      <c r="J1680" s="292"/>
      <c r="K1680" s="200"/>
      <c r="L1680" s="200"/>
      <c r="M1680" s="89" t="str">
        <f>IFERROR(VLOOKUP(H1680,Lijsten!$H$1:$I$100,2,0),"")</f>
        <v/>
      </c>
      <c r="N1680" s="89" t="str" cm="1">
        <f t="array" ref="N1680">IFERROR(_xlfn.IFS(AND(LEFT(F1680,6)="Arbeid",RIGHT(F1680,3)&lt;&gt;"IKS"),IFERROR(VLOOKUP($G1680,Tb_KostenTypen[],2,0),"tarief"),RIGHT(F1680,3)="IKS","Uurtarief",LEFT(F1680,6)="Arbeid","Uurtarief",AND(LEFT(F1680,8)="Bijdrage",RIGHT(F1680,15)="(vrijwilligers)"),"Vast tarief"),"")</f>
        <v/>
      </c>
      <c r="O1680" s="90"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0"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1"/>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59"/>
      <c r="Z1680" s="49"/>
      <c r="AA1680" s="37" t="str" cm="1">
        <f t="array" ref="AA1680">IFERROR(IF(INDEX(SubsidieTabel!$Q$1:$T$9,MATCH($F1680,SubsidieTabel!$Q$1:$Q$9,0),IFERROR(MATCH(Methode_Keuze,SubsidieTabel!$Q$1:$T$1,0),2))&lt;&gt;1=TRUE,"ja",""),"")</f>
        <v/>
      </c>
    </row>
    <row r="1681" spans="1:27" ht="15" customHeight="1" x14ac:dyDescent="0.25">
      <c r="A1681" s="85"/>
      <c r="B1681" s="217" t="str">
        <f>IF(A1681&lt;&gt;"",_xlfn.MAXIFS($B$1:B1680,$A$1:A1680,A1681)+1,"")</f>
        <v/>
      </c>
      <c r="C1681" s="50"/>
      <c r="D1681" s="50"/>
      <c r="E1681" s="50"/>
      <c r="F1681" s="50"/>
      <c r="G1681" s="280"/>
      <c r="H1681" s="293"/>
      <c r="I1681" s="292"/>
      <c r="J1681" s="292"/>
      <c r="K1681" s="200"/>
      <c r="L1681" s="200"/>
      <c r="M1681" s="89" t="str">
        <f>IFERROR(VLOOKUP(H1681,Lijsten!$H$1:$I$100,2,0),"")</f>
        <v/>
      </c>
      <c r="N1681" s="89" t="str" cm="1">
        <f t="array" ref="N1681">IFERROR(_xlfn.IFS(AND(LEFT(F1681,6)="Arbeid",RIGHT(F1681,3)&lt;&gt;"IKS"),IFERROR(VLOOKUP($G1681,Tb_KostenTypen[],2,0),"tarief"),RIGHT(F1681,3)="IKS","Uurtarief",LEFT(F1681,6)="Arbeid","Uurtarief",AND(LEFT(F1681,8)="Bijdrage",RIGHT(F1681,15)="(vrijwilligers)"),"Vast tarief"),"")</f>
        <v/>
      </c>
      <c r="O1681" s="90"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0"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1"/>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59"/>
      <c r="Z1681" s="49"/>
      <c r="AA1681" s="37" t="str" cm="1">
        <f t="array" ref="AA1681">IFERROR(IF(INDEX(SubsidieTabel!$Q$1:$T$9,MATCH($F1681,SubsidieTabel!$Q$1:$Q$9,0),IFERROR(MATCH(Methode_Keuze,SubsidieTabel!$Q$1:$T$1,0),2))&lt;&gt;1=TRUE,"ja",""),"")</f>
        <v/>
      </c>
    </row>
    <row r="1682" spans="1:27" ht="15" customHeight="1" x14ac:dyDescent="0.25">
      <c r="A1682" s="85"/>
      <c r="B1682" s="217" t="str">
        <f>IF(A1682&lt;&gt;"",_xlfn.MAXIFS($B$1:B1681,$A$1:A1681,A1682)+1,"")</f>
        <v/>
      </c>
      <c r="C1682" s="50"/>
      <c r="D1682" s="50"/>
      <c r="E1682" s="50"/>
      <c r="F1682" s="50"/>
      <c r="G1682" s="280"/>
      <c r="H1682" s="293"/>
      <c r="I1682" s="292"/>
      <c r="J1682" s="292"/>
      <c r="K1682" s="200"/>
      <c r="L1682" s="200"/>
      <c r="M1682" s="89" t="str">
        <f>IFERROR(VLOOKUP(H1682,Lijsten!$H$1:$I$100,2,0),"")</f>
        <v/>
      </c>
      <c r="N1682" s="89" t="str" cm="1">
        <f t="array" ref="N1682">IFERROR(_xlfn.IFS(AND(LEFT(F1682,6)="Arbeid",RIGHT(F1682,3)&lt;&gt;"IKS"),IFERROR(VLOOKUP($G1682,Tb_KostenTypen[],2,0),"tarief"),RIGHT(F1682,3)="IKS","Uurtarief",LEFT(F1682,6)="Arbeid","Uurtarief",AND(LEFT(F1682,8)="Bijdrage",RIGHT(F1682,15)="(vrijwilligers)"),"Vast tarief"),"")</f>
        <v/>
      </c>
      <c r="O1682" s="90"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0"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1"/>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59"/>
      <c r="Z1682" s="49"/>
      <c r="AA1682" s="37" t="str" cm="1">
        <f t="array" ref="AA1682">IFERROR(IF(INDEX(SubsidieTabel!$Q$1:$T$9,MATCH($F1682,SubsidieTabel!$Q$1:$Q$9,0),IFERROR(MATCH(Methode_Keuze,SubsidieTabel!$Q$1:$T$1,0),2))&lt;&gt;1=TRUE,"ja",""),"")</f>
        <v/>
      </c>
    </row>
    <row r="1683" spans="1:27" ht="15" customHeight="1" x14ac:dyDescent="0.25">
      <c r="A1683" s="85"/>
      <c r="B1683" s="217" t="str">
        <f>IF(A1683&lt;&gt;"",_xlfn.MAXIFS($B$1:B1682,$A$1:A1682,A1683)+1,"")</f>
        <v/>
      </c>
      <c r="C1683" s="50"/>
      <c r="D1683" s="50"/>
      <c r="E1683" s="50"/>
      <c r="F1683" s="50"/>
      <c r="G1683" s="280"/>
      <c r="H1683" s="293"/>
      <c r="I1683" s="292"/>
      <c r="J1683" s="292"/>
      <c r="K1683" s="200"/>
      <c r="L1683" s="200"/>
      <c r="M1683" s="89" t="str">
        <f>IFERROR(VLOOKUP(H1683,Lijsten!$H$1:$I$100,2,0),"")</f>
        <v/>
      </c>
      <c r="N1683" s="89" t="str" cm="1">
        <f t="array" ref="N1683">IFERROR(_xlfn.IFS(AND(LEFT(F1683,6)="Arbeid",RIGHT(F1683,3)&lt;&gt;"IKS"),IFERROR(VLOOKUP($G1683,Tb_KostenTypen[],2,0),"tarief"),RIGHT(F1683,3)="IKS","Uurtarief",LEFT(F1683,6)="Arbeid","Uurtarief",AND(LEFT(F1683,8)="Bijdrage",RIGHT(F1683,15)="(vrijwilligers)"),"Vast tarief"),"")</f>
        <v/>
      </c>
      <c r="O1683" s="90"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0"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1"/>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59"/>
      <c r="Z1683" s="49"/>
      <c r="AA1683" s="37" t="str" cm="1">
        <f t="array" ref="AA1683">IFERROR(IF(INDEX(SubsidieTabel!$Q$1:$T$9,MATCH($F1683,SubsidieTabel!$Q$1:$Q$9,0),IFERROR(MATCH(Methode_Keuze,SubsidieTabel!$Q$1:$T$1,0),2))&lt;&gt;1=TRUE,"ja",""),"")</f>
        <v/>
      </c>
    </row>
    <row r="1684" spans="1:27" ht="15" customHeight="1" x14ac:dyDescent="0.25">
      <c r="A1684" s="85"/>
      <c r="B1684" s="217" t="str">
        <f>IF(A1684&lt;&gt;"",_xlfn.MAXIFS($B$1:B1683,$A$1:A1683,A1684)+1,"")</f>
        <v/>
      </c>
      <c r="C1684" s="50"/>
      <c r="D1684" s="50"/>
      <c r="E1684" s="50"/>
      <c r="F1684" s="50"/>
      <c r="G1684" s="280"/>
      <c r="H1684" s="293"/>
      <c r="I1684" s="292"/>
      <c r="J1684" s="292"/>
      <c r="K1684" s="200"/>
      <c r="L1684" s="200"/>
      <c r="M1684" s="89" t="str">
        <f>IFERROR(VLOOKUP(H1684,Lijsten!$H$1:$I$100,2,0),"")</f>
        <v/>
      </c>
      <c r="N1684" s="89" t="str" cm="1">
        <f t="array" ref="N1684">IFERROR(_xlfn.IFS(AND(LEFT(F1684,6)="Arbeid",RIGHT(F1684,3)&lt;&gt;"IKS"),IFERROR(VLOOKUP($G1684,Tb_KostenTypen[],2,0),"tarief"),RIGHT(F1684,3)="IKS","Uurtarief",LEFT(F1684,6)="Arbeid","Uurtarief",AND(LEFT(F1684,8)="Bijdrage",RIGHT(F1684,15)="(vrijwilligers)"),"Vast tarief"),"")</f>
        <v/>
      </c>
      <c r="O1684" s="90"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0"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1"/>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59"/>
      <c r="Z1684" s="49"/>
      <c r="AA1684" s="37" t="str" cm="1">
        <f t="array" ref="AA1684">IFERROR(IF(INDEX(SubsidieTabel!$Q$1:$T$9,MATCH($F1684,SubsidieTabel!$Q$1:$Q$9,0),IFERROR(MATCH(Methode_Keuze,SubsidieTabel!$Q$1:$T$1,0),2))&lt;&gt;1=TRUE,"ja",""),"")</f>
        <v/>
      </c>
    </row>
    <row r="1685" spans="1:27" ht="15" customHeight="1" x14ac:dyDescent="0.25">
      <c r="A1685" s="85"/>
      <c r="B1685" s="217" t="str">
        <f>IF(A1685&lt;&gt;"",_xlfn.MAXIFS($B$1:B1684,$A$1:A1684,A1685)+1,"")</f>
        <v/>
      </c>
      <c r="C1685" s="50"/>
      <c r="D1685" s="50"/>
      <c r="E1685" s="50"/>
      <c r="F1685" s="50"/>
      <c r="G1685" s="280"/>
      <c r="H1685" s="293"/>
      <c r="I1685" s="292"/>
      <c r="J1685" s="292"/>
      <c r="K1685" s="200"/>
      <c r="L1685" s="200"/>
      <c r="M1685" s="89" t="str">
        <f>IFERROR(VLOOKUP(H1685,Lijsten!$H$1:$I$100,2,0),"")</f>
        <v/>
      </c>
      <c r="N1685" s="89" t="str" cm="1">
        <f t="array" ref="N1685">IFERROR(_xlfn.IFS(AND(LEFT(F1685,6)="Arbeid",RIGHT(F1685,3)&lt;&gt;"IKS"),IFERROR(VLOOKUP($G1685,Tb_KostenTypen[],2,0),"tarief"),RIGHT(F1685,3)="IKS","Uurtarief",LEFT(F1685,6)="Arbeid","Uurtarief",AND(LEFT(F1685,8)="Bijdrage",RIGHT(F1685,15)="(vrijwilligers)"),"Vast tarief"),"")</f>
        <v/>
      </c>
      <c r="O1685" s="90"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0"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1"/>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59"/>
      <c r="Z1685" s="49"/>
      <c r="AA1685" s="37" t="str" cm="1">
        <f t="array" ref="AA1685">IFERROR(IF(INDEX(SubsidieTabel!$Q$1:$T$9,MATCH($F1685,SubsidieTabel!$Q$1:$Q$9,0),IFERROR(MATCH(Methode_Keuze,SubsidieTabel!$Q$1:$T$1,0),2))&lt;&gt;1=TRUE,"ja",""),"")</f>
        <v/>
      </c>
    </row>
    <row r="1686" spans="1:27" ht="15" customHeight="1" x14ac:dyDescent="0.25">
      <c r="A1686" s="85"/>
      <c r="B1686" s="217" t="str">
        <f>IF(A1686&lt;&gt;"",_xlfn.MAXIFS($B$1:B1685,$A$1:A1685,A1686)+1,"")</f>
        <v/>
      </c>
      <c r="C1686" s="50"/>
      <c r="D1686" s="50"/>
      <c r="E1686" s="50"/>
      <c r="F1686" s="50"/>
      <c r="G1686" s="280"/>
      <c r="H1686" s="293"/>
      <c r="I1686" s="292"/>
      <c r="J1686" s="292"/>
      <c r="K1686" s="200"/>
      <c r="L1686" s="200"/>
      <c r="M1686" s="89" t="str">
        <f>IFERROR(VLOOKUP(H1686,Lijsten!$H$1:$I$100,2,0),"")</f>
        <v/>
      </c>
      <c r="N1686" s="89" t="str" cm="1">
        <f t="array" ref="N1686">IFERROR(_xlfn.IFS(AND(LEFT(F1686,6)="Arbeid",RIGHT(F1686,3)&lt;&gt;"IKS"),IFERROR(VLOOKUP($G1686,Tb_KostenTypen[],2,0),"tarief"),RIGHT(F1686,3)="IKS","Uurtarief",LEFT(F1686,6)="Arbeid","Uurtarief",AND(LEFT(F1686,8)="Bijdrage",RIGHT(F1686,15)="(vrijwilligers)"),"Vast tarief"),"")</f>
        <v/>
      </c>
      <c r="O1686" s="90"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0"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1"/>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59"/>
      <c r="Z1686" s="49"/>
      <c r="AA1686" s="37" t="str" cm="1">
        <f t="array" ref="AA1686">IFERROR(IF(INDEX(SubsidieTabel!$Q$1:$T$9,MATCH($F1686,SubsidieTabel!$Q$1:$Q$9,0),IFERROR(MATCH(Methode_Keuze,SubsidieTabel!$Q$1:$T$1,0),2))&lt;&gt;1=TRUE,"ja",""),"")</f>
        <v/>
      </c>
    </row>
    <row r="1687" spans="1:27" ht="15" customHeight="1" x14ac:dyDescent="0.25">
      <c r="A1687" s="85"/>
      <c r="B1687" s="217" t="str">
        <f>IF(A1687&lt;&gt;"",_xlfn.MAXIFS($B$1:B1686,$A$1:A1686,A1687)+1,"")</f>
        <v/>
      </c>
      <c r="C1687" s="50"/>
      <c r="D1687" s="50"/>
      <c r="E1687" s="50"/>
      <c r="F1687" s="50"/>
      <c r="G1687" s="280"/>
      <c r="H1687" s="293"/>
      <c r="I1687" s="292"/>
      <c r="J1687" s="292"/>
      <c r="K1687" s="200"/>
      <c r="L1687" s="200"/>
      <c r="M1687" s="89" t="str">
        <f>IFERROR(VLOOKUP(H1687,Lijsten!$H$1:$I$100,2,0),"")</f>
        <v/>
      </c>
      <c r="N1687" s="89" t="str" cm="1">
        <f t="array" ref="N1687">IFERROR(_xlfn.IFS(AND(LEFT(F1687,6)="Arbeid",RIGHT(F1687,3)&lt;&gt;"IKS"),IFERROR(VLOOKUP($G1687,Tb_KostenTypen[],2,0),"tarief"),RIGHT(F1687,3)="IKS","Uurtarief",LEFT(F1687,6)="Arbeid","Uurtarief",AND(LEFT(F1687,8)="Bijdrage",RIGHT(F1687,15)="(vrijwilligers)"),"Vast tarief"),"")</f>
        <v/>
      </c>
      <c r="O1687" s="90"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0"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1"/>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59"/>
      <c r="Z1687" s="49"/>
      <c r="AA1687" s="37" t="str" cm="1">
        <f t="array" ref="AA1687">IFERROR(IF(INDEX(SubsidieTabel!$Q$1:$T$9,MATCH($F1687,SubsidieTabel!$Q$1:$Q$9,0),IFERROR(MATCH(Methode_Keuze,SubsidieTabel!$Q$1:$T$1,0),2))&lt;&gt;1=TRUE,"ja",""),"")</f>
        <v/>
      </c>
    </row>
    <row r="1688" spans="1:27" ht="15" customHeight="1" x14ac:dyDescent="0.25">
      <c r="A1688" s="85"/>
      <c r="B1688" s="217" t="str">
        <f>IF(A1688&lt;&gt;"",_xlfn.MAXIFS($B$1:B1687,$A$1:A1687,A1688)+1,"")</f>
        <v/>
      </c>
      <c r="C1688" s="50"/>
      <c r="D1688" s="50"/>
      <c r="E1688" s="50"/>
      <c r="F1688" s="50"/>
      <c r="G1688" s="280"/>
      <c r="H1688" s="293"/>
      <c r="I1688" s="292"/>
      <c r="J1688" s="292"/>
      <c r="K1688" s="200"/>
      <c r="L1688" s="200"/>
      <c r="M1688" s="89" t="str">
        <f>IFERROR(VLOOKUP(H1688,Lijsten!$H$1:$I$100,2,0),"")</f>
        <v/>
      </c>
      <c r="N1688" s="89" t="str" cm="1">
        <f t="array" ref="N1688">IFERROR(_xlfn.IFS(AND(LEFT(F1688,6)="Arbeid",RIGHT(F1688,3)&lt;&gt;"IKS"),IFERROR(VLOOKUP($G1688,Tb_KostenTypen[],2,0),"tarief"),RIGHT(F1688,3)="IKS","Uurtarief",LEFT(F1688,6)="Arbeid","Uurtarief",AND(LEFT(F1688,8)="Bijdrage",RIGHT(F1688,15)="(vrijwilligers)"),"Vast tarief"),"")</f>
        <v/>
      </c>
      <c r="O1688" s="90"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0"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1"/>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59"/>
      <c r="Z1688" s="49"/>
      <c r="AA1688" s="37" t="str" cm="1">
        <f t="array" ref="AA1688">IFERROR(IF(INDEX(SubsidieTabel!$Q$1:$T$9,MATCH($F1688,SubsidieTabel!$Q$1:$Q$9,0),IFERROR(MATCH(Methode_Keuze,SubsidieTabel!$Q$1:$T$1,0),2))&lt;&gt;1=TRUE,"ja",""),"")</f>
        <v/>
      </c>
    </row>
    <row r="1689" spans="1:27" ht="15" customHeight="1" x14ac:dyDescent="0.25">
      <c r="A1689" s="85"/>
      <c r="B1689" s="217" t="str">
        <f>IF(A1689&lt;&gt;"",_xlfn.MAXIFS($B$1:B1688,$A$1:A1688,A1689)+1,"")</f>
        <v/>
      </c>
      <c r="C1689" s="50"/>
      <c r="D1689" s="50"/>
      <c r="E1689" s="50"/>
      <c r="F1689" s="50"/>
      <c r="G1689" s="280"/>
      <c r="H1689" s="293"/>
      <c r="I1689" s="292"/>
      <c r="J1689" s="292"/>
      <c r="K1689" s="200"/>
      <c r="L1689" s="200"/>
      <c r="M1689" s="89" t="str">
        <f>IFERROR(VLOOKUP(H1689,Lijsten!$H$1:$I$100,2,0),"")</f>
        <v/>
      </c>
      <c r="N1689" s="89" t="str" cm="1">
        <f t="array" ref="N1689">IFERROR(_xlfn.IFS(AND(LEFT(F1689,6)="Arbeid",RIGHT(F1689,3)&lt;&gt;"IKS"),IFERROR(VLOOKUP($G1689,Tb_KostenTypen[],2,0),"tarief"),RIGHT(F1689,3)="IKS","Uurtarief",LEFT(F1689,6)="Arbeid","Uurtarief",AND(LEFT(F1689,8)="Bijdrage",RIGHT(F1689,15)="(vrijwilligers)"),"Vast tarief"),"")</f>
        <v/>
      </c>
      <c r="O1689" s="90"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0"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1"/>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59"/>
      <c r="Z1689" s="49"/>
      <c r="AA1689" s="37" t="str" cm="1">
        <f t="array" ref="AA1689">IFERROR(IF(INDEX(SubsidieTabel!$Q$1:$T$9,MATCH($F1689,SubsidieTabel!$Q$1:$Q$9,0),IFERROR(MATCH(Methode_Keuze,SubsidieTabel!$Q$1:$T$1,0),2))&lt;&gt;1=TRUE,"ja",""),"")</f>
        <v/>
      </c>
    </row>
    <row r="1690" spans="1:27" ht="15" customHeight="1" x14ac:dyDescent="0.25">
      <c r="A1690" s="85"/>
      <c r="B1690" s="217" t="str">
        <f>IF(A1690&lt;&gt;"",_xlfn.MAXIFS($B$1:B1689,$A$1:A1689,A1690)+1,"")</f>
        <v/>
      </c>
      <c r="C1690" s="50"/>
      <c r="D1690" s="50"/>
      <c r="E1690" s="50"/>
      <c r="F1690" s="50"/>
      <c r="G1690" s="280"/>
      <c r="H1690" s="293"/>
      <c r="I1690" s="292"/>
      <c r="J1690" s="292"/>
      <c r="K1690" s="200"/>
      <c r="L1690" s="200"/>
      <c r="M1690" s="89" t="str">
        <f>IFERROR(VLOOKUP(H1690,Lijsten!$H$1:$I$100,2,0),"")</f>
        <v/>
      </c>
      <c r="N1690" s="89" t="str" cm="1">
        <f t="array" ref="N1690">IFERROR(_xlfn.IFS(AND(LEFT(F1690,6)="Arbeid",RIGHT(F1690,3)&lt;&gt;"IKS"),IFERROR(VLOOKUP($G1690,Tb_KostenTypen[],2,0),"tarief"),RIGHT(F1690,3)="IKS","Uurtarief",LEFT(F1690,6)="Arbeid","Uurtarief",AND(LEFT(F1690,8)="Bijdrage",RIGHT(F1690,15)="(vrijwilligers)"),"Vast tarief"),"")</f>
        <v/>
      </c>
      <c r="O1690" s="90"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0"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1"/>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59"/>
      <c r="Z1690" s="49"/>
      <c r="AA1690" s="37" t="str" cm="1">
        <f t="array" ref="AA1690">IFERROR(IF(INDEX(SubsidieTabel!$Q$1:$T$9,MATCH($F1690,SubsidieTabel!$Q$1:$Q$9,0),IFERROR(MATCH(Methode_Keuze,SubsidieTabel!$Q$1:$T$1,0),2))&lt;&gt;1=TRUE,"ja",""),"")</f>
        <v/>
      </c>
    </row>
    <row r="1691" spans="1:27" ht="15" customHeight="1" x14ac:dyDescent="0.25">
      <c r="A1691" s="85"/>
      <c r="B1691" s="217" t="str">
        <f>IF(A1691&lt;&gt;"",_xlfn.MAXIFS($B$1:B1690,$A$1:A1690,A1691)+1,"")</f>
        <v/>
      </c>
      <c r="C1691" s="50"/>
      <c r="D1691" s="50"/>
      <c r="E1691" s="50"/>
      <c r="F1691" s="50"/>
      <c r="G1691" s="280"/>
      <c r="H1691" s="293"/>
      <c r="I1691" s="292"/>
      <c r="J1691" s="292"/>
      <c r="K1691" s="200"/>
      <c r="L1691" s="200"/>
      <c r="M1691" s="89" t="str">
        <f>IFERROR(VLOOKUP(H1691,Lijsten!$H$1:$I$100,2,0),"")</f>
        <v/>
      </c>
      <c r="N1691" s="89" t="str" cm="1">
        <f t="array" ref="N1691">IFERROR(_xlfn.IFS(AND(LEFT(F1691,6)="Arbeid",RIGHT(F1691,3)&lt;&gt;"IKS"),IFERROR(VLOOKUP($G1691,Tb_KostenTypen[],2,0),"tarief"),RIGHT(F1691,3)="IKS","Uurtarief",LEFT(F1691,6)="Arbeid","Uurtarief",AND(LEFT(F1691,8)="Bijdrage",RIGHT(F1691,15)="(vrijwilligers)"),"Vast tarief"),"")</f>
        <v/>
      </c>
      <c r="O1691" s="90"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0"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1"/>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59"/>
      <c r="Z1691" s="49"/>
      <c r="AA1691" s="37" t="str" cm="1">
        <f t="array" ref="AA1691">IFERROR(IF(INDEX(SubsidieTabel!$Q$1:$T$9,MATCH($F1691,SubsidieTabel!$Q$1:$Q$9,0),IFERROR(MATCH(Methode_Keuze,SubsidieTabel!$Q$1:$T$1,0),2))&lt;&gt;1=TRUE,"ja",""),"")</f>
        <v/>
      </c>
    </row>
    <row r="1692" spans="1:27" ht="15" customHeight="1" x14ac:dyDescent="0.25">
      <c r="A1692" s="85"/>
      <c r="B1692" s="217" t="str">
        <f>IF(A1692&lt;&gt;"",_xlfn.MAXIFS($B$1:B1691,$A$1:A1691,A1692)+1,"")</f>
        <v/>
      </c>
      <c r="C1692" s="50"/>
      <c r="D1692" s="50"/>
      <c r="E1692" s="50"/>
      <c r="F1692" s="50"/>
      <c r="G1692" s="280"/>
      <c r="H1692" s="293"/>
      <c r="I1692" s="292"/>
      <c r="J1692" s="292"/>
      <c r="K1692" s="200"/>
      <c r="L1692" s="200"/>
      <c r="M1692" s="89" t="str">
        <f>IFERROR(VLOOKUP(H1692,Lijsten!$H$1:$I$100,2,0),"")</f>
        <v/>
      </c>
      <c r="N1692" s="89" t="str" cm="1">
        <f t="array" ref="N1692">IFERROR(_xlfn.IFS(AND(LEFT(F1692,6)="Arbeid",RIGHT(F1692,3)&lt;&gt;"IKS"),IFERROR(VLOOKUP($G1692,Tb_KostenTypen[],2,0),"tarief"),RIGHT(F1692,3)="IKS","Uurtarief",LEFT(F1692,6)="Arbeid","Uurtarief",AND(LEFT(F1692,8)="Bijdrage",RIGHT(F1692,15)="(vrijwilligers)"),"Vast tarief"),"")</f>
        <v/>
      </c>
      <c r="O1692" s="90"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0"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1"/>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59"/>
      <c r="Z1692" s="49"/>
      <c r="AA1692" s="37" t="str" cm="1">
        <f t="array" ref="AA1692">IFERROR(IF(INDEX(SubsidieTabel!$Q$1:$T$9,MATCH($F1692,SubsidieTabel!$Q$1:$Q$9,0),IFERROR(MATCH(Methode_Keuze,SubsidieTabel!$Q$1:$T$1,0),2))&lt;&gt;1=TRUE,"ja",""),"")</f>
        <v/>
      </c>
    </row>
    <row r="1693" spans="1:27" ht="15" customHeight="1" x14ac:dyDescent="0.25">
      <c r="A1693" s="85"/>
      <c r="B1693" s="217" t="str">
        <f>IF(A1693&lt;&gt;"",_xlfn.MAXIFS($B$1:B1692,$A$1:A1692,A1693)+1,"")</f>
        <v/>
      </c>
      <c r="C1693" s="50"/>
      <c r="D1693" s="50"/>
      <c r="E1693" s="50"/>
      <c r="F1693" s="50"/>
      <c r="G1693" s="280"/>
      <c r="H1693" s="293"/>
      <c r="I1693" s="292"/>
      <c r="J1693" s="292"/>
      <c r="K1693" s="200"/>
      <c r="L1693" s="200"/>
      <c r="M1693" s="89" t="str">
        <f>IFERROR(VLOOKUP(H1693,Lijsten!$H$1:$I$100,2,0),"")</f>
        <v/>
      </c>
      <c r="N1693" s="89" t="str" cm="1">
        <f t="array" ref="N1693">IFERROR(_xlfn.IFS(AND(LEFT(F1693,6)="Arbeid",RIGHT(F1693,3)&lt;&gt;"IKS"),IFERROR(VLOOKUP($G1693,Tb_KostenTypen[],2,0),"tarief"),RIGHT(F1693,3)="IKS","Uurtarief",LEFT(F1693,6)="Arbeid","Uurtarief",AND(LEFT(F1693,8)="Bijdrage",RIGHT(F1693,15)="(vrijwilligers)"),"Vast tarief"),"")</f>
        <v/>
      </c>
      <c r="O1693" s="90"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0"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1"/>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59"/>
      <c r="Z1693" s="49"/>
      <c r="AA1693" s="37" t="str" cm="1">
        <f t="array" ref="AA1693">IFERROR(IF(INDEX(SubsidieTabel!$Q$1:$T$9,MATCH($F1693,SubsidieTabel!$Q$1:$Q$9,0),IFERROR(MATCH(Methode_Keuze,SubsidieTabel!$Q$1:$T$1,0),2))&lt;&gt;1=TRUE,"ja",""),"")</f>
        <v/>
      </c>
    </row>
    <row r="1694" spans="1:27" ht="15" customHeight="1" x14ac:dyDescent="0.25">
      <c r="A1694" s="85"/>
      <c r="B1694" s="217" t="str">
        <f>IF(A1694&lt;&gt;"",_xlfn.MAXIFS($B$1:B1693,$A$1:A1693,A1694)+1,"")</f>
        <v/>
      </c>
      <c r="C1694" s="50"/>
      <c r="D1694" s="50"/>
      <c r="E1694" s="50"/>
      <c r="F1694" s="50"/>
      <c r="G1694" s="280"/>
      <c r="H1694" s="293"/>
      <c r="I1694" s="292"/>
      <c r="J1694" s="292"/>
      <c r="K1694" s="200"/>
      <c r="L1694" s="200"/>
      <c r="M1694" s="89" t="str">
        <f>IFERROR(VLOOKUP(H1694,Lijsten!$H$1:$I$100,2,0),"")</f>
        <v/>
      </c>
      <c r="N1694" s="89" t="str" cm="1">
        <f t="array" ref="N1694">IFERROR(_xlfn.IFS(AND(LEFT(F1694,6)="Arbeid",RIGHT(F1694,3)&lt;&gt;"IKS"),IFERROR(VLOOKUP($G1694,Tb_KostenTypen[],2,0),"tarief"),RIGHT(F1694,3)="IKS","Uurtarief",LEFT(F1694,6)="Arbeid","Uurtarief",AND(LEFT(F1694,8)="Bijdrage",RIGHT(F1694,15)="(vrijwilligers)"),"Vast tarief"),"")</f>
        <v/>
      </c>
      <c r="O1694" s="90"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0"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1"/>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59"/>
      <c r="Z1694" s="49"/>
      <c r="AA1694" s="37" t="str" cm="1">
        <f t="array" ref="AA1694">IFERROR(IF(INDEX(SubsidieTabel!$Q$1:$T$9,MATCH($F1694,SubsidieTabel!$Q$1:$Q$9,0),IFERROR(MATCH(Methode_Keuze,SubsidieTabel!$Q$1:$T$1,0),2))&lt;&gt;1=TRUE,"ja",""),"")</f>
        <v/>
      </c>
    </row>
    <row r="1695" spans="1:27" ht="15" customHeight="1" x14ac:dyDescent="0.25">
      <c r="A1695" s="85"/>
      <c r="B1695" s="217" t="str">
        <f>IF(A1695&lt;&gt;"",_xlfn.MAXIFS($B$1:B1694,$A$1:A1694,A1695)+1,"")</f>
        <v/>
      </c>
      <c r="C1695" s="50"/>
      <c r="D1695" s="50"/>
      <c r="E1695" s="50"/>
      <c r="F1695" s="50"/>
      <c r="G1695" s="280"/>
      <c r="H1695" s="293"/>
      <c r="I1695" s="292"/>
      <c r="J1695" s="292"/>
      <c r="K1695" s="200"/>
      <c r="L1695" s="200"/>
      <c r="M1695" s="89" t="str">
        <f>IFERROR(VLOOKUP(H1695,Lijsten!$H$1:$I$100,2,0),"")</f>
        <v/>
      </c>
      <c r="N1695" s="89" t="str" cm="1">
        <f t="array" ref="N1695">IFERROR(_xlfn.IFS(AND(LEFT(F1695,6)="Arbeid",RIGHT(F1695,3)&lt;&gt;"IKS"),IFERROR(VLOOKUP($G1695,Tb_KostenTypen[],2,0),"tarief"),RIGHT(F1695,3)="IKS","Uurtarief",LEFT(F1695,6)="Arbeid","Uurtarief",AND(LEFT(F1695,8)="Bijdrage",RIGHT(F1695,15)="(vrijwilligers)"),"Vast tarief"),"")</f>
        <v/>
      </c>
      <c r="O1695" s="90"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0"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1"/>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59"/>
      <c r="Z1695" s="49"/>
      <c r="AA1695" s="37" t="str" cm="1">
        <f t="array" ref="AA1695">IFERROR(IF(INDEX(SubsidieTabel!$Q$1:$T$9,MATCH($F1695,SubsidieTabel!$Q$1:$Q$9,0),IFERROR(MATCH(Methode_Keuze,SubsidieTabel!$Q$1:$T$1,0),2))&lt;&gt;1=TRUE,"ja",""),"")</f>
        <v/>
      </c>
    </row>
    <row r="1696" spans="1:27" ht="15" customHeight="1" x14ac:dyDescent="0.25">
      <c r="A1696" s="85"/>
      <c r="B1696" s="217" t="str">
        <f>IF(A1696&lt;&gt;"",_xlfn.MAXIFS($B$1:B1695,$A$1:A1695,A1696)+1,"")</f>
        <v/>
      </c>
      <c r="C1696" s="50"/>
      <c r="D1696" s="50"/>
      <c r="E1696" s="50"/>
      <c r="F1696" s="50"/>
      <c r="G1696" s="280"/>
      <c r="H1696" s="293"/>
      <c r="I1696" s="292"/>
      <c r="J1696" s="292"/>
      <c r="K1696" s="200"/>
      <c r="L1696" s="200"/>
      <c r="M1696" s="89" t="str">
        <f>IFERROR(VLOOKUP(H1696,Lijsten!$H$1:$I$100,2,0),"")</f>
        <v/>
      </c>
      <c r="N1696" s="89" t="str" cm="1">
        <f t="array" ref="N1696">IFERROR(_xlfn.IFS(AND(LEFT(F1696,6)="Arbeid",RIGHT(F1696,3)&lt;&gt;"IKS"),IFERROR(VLOOKUP($G1696,Tb_KostenTypen[],2,0),"tarief"),RIGHT(F1696,3)="IKS","Uurtarief",LEFT(F1696,6)="Arbeid","Uurtarief",AND(LEFT(F1696,8)="Bijdrage",RIGHT(F1696,15)="(vrijwilligers)"),"Vast tarief"),"")</f>
        <v/>
      </c>
      <c r="O1696" s="90"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0"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1"/>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59"/>
      <c r="Z1696" s="49"/>
      <c r="AA1696" s="37" t="str" cm="1">
        <f t="array" ref="AA1696">IFERROR(IF(INDEX(SubsidieTabel!$Q$1:$T$9,MATCH($F1696,SubsidieTabel!$Q$1:$Q$9,0),IFERROR(MATCH(Methode_Keuze,SubsidieTabel!$Q$1:$T$1,0),2))&lt;&gt;1=TRUE,"ja",""),"")</f>
        <v/>
      </c>
    </row>
    <row r="1697" spans="1:27" ht="15" customHeight="1" x14ac:dyDescent="0.25">
      <c r="A1697" s="85"/>
      <c r="B1697" s="217" t="str">
        <f>IF(A1697&lt;&gt;"",_xlfn.MAXIFS($B$1:B1696,$A$1:A1696,A1697)+1,"")</f>
        <v/>
      </c>
      <c r="C1697" s="50"/>
      <c r="D1697" s="50"/>
      <c r="E1697" s="50"/>
      <c r="F1697" s="50"/>
      <c r="G1697" s="280"/>
      <c r="H1697" s="293"/>
      <c r="I1697" s="292"/>
      <c r="J1697" s="292"/>
      <c r="K1697" s="200"/>
      <c r="L1697" s="200"/>
      <c r="M1697" s="89" t="str">
        <f>IFERROR(VLOOKUP(H1697,Lijsten!$H$1:$I$100,2,0),"")</f>
        <v/>
      </c>
      <c r="N1697" s="89" t="str" cm="1">
        <f t="array" ref="N1697">IFERROR(_xlfn.IFS(AND(LEFT(F1697,6)="Arbeid",RIGHT(F1697,3)&lt;&gt;"IKS"),IFERROR(VLOOKUP($G1697,Tb_KostenTypen[],2,0),"tarief"),RIGHT(F1697,3)="IKS","Uurtarief",LEFT(F1697,6)="Arbeid","Uurtarief",AND(LEFT(F1697,8)="Bijdrage",RIGHT(F1697,15)="(vrijwilligers)"),"Vast tarief"),"")</f>
        <v/>
      </c>
      <c r="O1697" s="90"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0"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1"/>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59"/>
      <c r="Z1697" s="49"/>
      <c r="AA1697" s="37" t="str" cm="1">
        <f t="array" ref="AA1697">IFERROR(IF(INDEX(SubsidieTabel!$Q$1:$T$9,MATCH($F1697,SubsidieTabel!$Q$1:$Q$9,0),IFERROR(MATCH(Methode_Keuze,SubsidieTabel!$Q$1:$T$1,0),2))&lt;&gt;1=TRUE,"ja",""),"")</f>
        <v/>
      </c>
    </row>
    <row r="1698" spans="1:27" ht="15" customHeight="1" x14ac:dyDescent="0.25">
      <c r="A1698" s="85"/>
      <c r="B1698" s="217" t="str">
        <f>IF(A1698&lt;&gt;"",_xlfn.MAXIFS($B$1:B1697,$A$1:A1697,A1698)+1,"")</f>
        <v/>
      </c>
      <c r="C1698" s="50"/>
      <c r="D1698" s="50"/>
      <c r="E1698" s="50"/>
      <c r="F1698" s="50"/>
      <c r="G1698" s="280"/>
      <c r="H1698" s="293"/>
      <c r="I1698" s="292"/>
      <c r="J1698" s="292"/>
      <c r="K1698" s="200"/>
      <c r="L1698" s="200"/>
      <c r="M1698" s="89" t="str">
        <f>IFERROR(VLOOKUP(H1698,Lijsten!$H$1:$I$100,2,0),"")</f>
        <v/>
      </c>
      <c r="N1698" s="89" t="str" cm="1">
        <f t="array" ref="N1698">IFERROR(_xlfn.IFS(AND(LEFT(F1698,6)="Arbeid",RIGHT(F1698,3)&lt;&gt;"IKS"),IFERROR(VLOOKUP($G1698,Tb_KostenTypen[],2,0),"tarief"),RIGHT(F1698,3)="IKS","Uurtarief",LEFT(F1698,6)="Arbeid","Uurtarief",AND(LEFT(F1698,8)="Bijdrage",RIGHT(F1698,15)="(vrijwilligers)"),"Vast tarief"),"")</f>
        <v/>
      </c>
      <c r="O1698" s="90"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0"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1"/>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59"/>
      <c r="Z1698" s="49"/>
      <c r="AA1698" s="37" t="str" cm="1">
        <f t="array" ref="AA1698">IFERROR(IF(INDEX(SubsidieTabel!$Q$1:$T$9,MATCH($F1698,SubsidieTabel!$Q$1:$Q$9,0),IFERROR(MATCH(Methode_Keuze,SubsidieTabel!$Q$1:$T$1,0),2))&lt;&gt;1=TRUE,"ja",""),"")</f>
        <v/>
      </c>
    </row>
    <row r="1699" spans="1:27" ht="15" customHeight="1" x14ac:dyDescent="0.25">
      <c r="A1699" s="85"/>
      <c r="B1699" s="217" t="str">
        <f>IF(A1699&lt;&gt;"",_xlfn.MAXIFS($B$1:B1698,$A$1:A1698,A1699)+1,"")</f>
        <v/>
      </c>
      <c r="C1699" s="50"/>
      <c r="D1699" s="50"/>
      <c r="E1699" s="50"/>
      <c r="F1699" s="50"/>
      <c r="G1699" s="280"/>
      <c r="H1699" s="293"/>
      <c r="I1699" s="292"/>
      <c r="J1699" s="292"/>
      <c r="K1699" s="200"/>
      <c r="L1699" s="200"/>
      <c r="M1699" s="89" t="str">
        <f>IFERROR(VLOOKUP(H1699,Lijsten!$H$1:$I$100,2,0),"")</f>
        <v/>
      </c>
      <c r="N1699" s="89" t="str" cm="1">
        <f t="array" ref="N1699">IFERROR(_xlfn.IFS(AND(LEFT(F1699,6)="Arbeid",RIGHT(F1699,3)&lt;&gt;"IKS"),IFERROR(VLOOKUP($G1699,Tb_KostenTypen[],2,0),"tarief"),RIGHT(F1699,3)="IKS","Uurtarief",LEFT(F1699,6)="Arbeid","Uurtarief",AND(LEFT(F1699,8)="Bijdrage",RIGHT(F1699,15)="(vrijwilligers)"),"Vast tarief"),"")</f>
        <v/>
      </c>
      <c r="O1699" s="90"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0"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1"/>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59"/>
      <c r="Z1699" s="49"/>
      <c r="AA1699" s="37" t="str" cm="1">
        <f t="array" ref="AA1699">IFERROR(IF(INDEX(SubsidieTabel!$Q$1:$T$9,MATCH($F1699,SubsidieTabel!$Q$1:$Q$9,0),IFERROR(MATCH(Methode_Keuze,SubsidieTabel!$Q$1:$T$1,0),2))&lt;&gt;1=TRUE,"ja",""),"")</f>
        <v/>
      </c>
    </row>
    <row r="1700" spans="1:27" ht="15" customHeight="1" x14ac:dyDescent="0.25">
      <c r="A1700" s="85"/>
      <c r="B1700" s="217" t="str">
        <f>IF(A1700&lt;&gt;"",_xlfn.MAXIFS($B$1:B1699,$A$1:A1699,A1700)+1,"")</f>
        <v/>
      </c>
      <c r="C1700" s="50"/>
      <c r="D1700" s="50"/>
      <c r="E1700" s="50"/>
      <c r="F1700" s="50"/>
      <c r="G1700" s="280"/>
      <c r="H1700" s="293"/>
      <c r="I1700" s="292"/>
      <c r="J1700" s="292"/>
      <c r="K1700" s="200"/>
      <c r="L1700" s="200"/>
      <c r="M1700" s="89" t="str">
        <f>IFERROR(VLOOKUP(H1700,Lijsten!$H$1:$I$100,2,0),"")</f>
        <v/>
      </c>
      <c r="N1700" s="89" t="str" cm="1">
        <f t="array" ref="N1700">IFERROR(_xlfn.IFS(AND(LEFT(F1700,6)="Arbeid",RIGHT(F1700,3)&lt;&gt;"IKS"),IFERROR(VLOOKUP($G1700,Tb_KostenTypen[],2,0),"tarief"),RIGHT(F1700,3)="IKS","Uurtarief",LEFT(F1700,6)="Arbeid","Uurtarief",AND(LEFT(F1700,8)="Bijdrage",RIGHT(F1700,15)="(vrijwilligers)"),"Vast tarief"),"")</f>
        <v/>
      </c>
      <c r="O1700" s="90"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0"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1"/>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59"/>
      <c r="Z1700" s="49"/>
      <c r="AA1700" s="37" t="str" cm="1">
        <f t="array" ref="AA1700">IFERROR(IF(INDEX(SubsidieTabel!$Q$1:$T$9,MATCH($F1700,SubsidieTabel!$Q$1:$Q$9,0),IFERROR(MATCH(Methode_Keuze,SubsidieTabel!$Q$1:$T$1,0),2))&lt;&gt;1=TRUE,"ja",""),"")</f>
        <v/>
      </c>
    </row>
    <row r="1701" spans="1:27" ht="15" customHeight="1" x14ac:dyDescent="0.25">
      <c r="A1701" s="85"/>
      <c r="B1701" s="217" t="str">
        <f>IF(A1701&lt;&gt;"",_xlfn.MAXIFS($B$1:B1700,$A$1:A1700,A1701)+1,"")</f>
        <v/>
      </c>
      <c r="C1701" s="50"/>
      <c r="D1701" s="50"/>
      <c r="E1701" s="50"/>
      <c r="F1701" s="50"/>
      <c r="G1701" s="280"/>
      <c r="H1701" s="293"/>
      <c r="I1701" s="292"/>
      <c r="J1701" s="292"/>
      <c r="K1701" s="200"/>
      <c r="L1701" s="200"/>
      <c r="M1701" s="89" t="str">
        <f>IFERROR(VLOOKUP(H1701,Lijsten!$H$1:$I$100,2,0),"")</f>
        <v/>
      </c>
      <c r="N1701" s="89" t="str" cm="1">
        <f t="array" ref="N1701">IFERROR(_xlfn.IFS(AND(LEFT(F1701,6)="Arbeid",RIGHT(F1701,3)&lt;&gt;"IKS"),IFERROR(VLOOKUP($G1701,Tb_KostenTypen[],2,0),"tarief"),RIGHT(F1701,3)="IKS","Uurtarief",LEFT(F1701,6)="Arbeid","Uurtarief",AND(LEFT(F1701,8)="Bijdrage",RIGHT(F1701,15)="(vrijwilligers)"),"Vast tarief"),"")</f>
        <v/>
      </c>
      <c r="O1701" s="90"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0"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1"/>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59"/>
      <c r="Z1701" s="49"/>
      <c r="AA1701" s="37" t="str" cm="1">
        <f t="array" ref="AA1701">IFERROR(IF(INDEX(SubsidieTabel!$Q$1:$T$9,MATCH($F1701,SubsidieTabel!$Q$1:$Q$9,0),IFERROR(MATCH(Methode_Keuze,SubsidieTabel!$Q$1:$T$1,0),2))&lt;&gt;1=TRUE,"ja",""),"")</f>
        <v/>
      </c>
    </row>
    <row r="1702" spans="1:27" ht="15" customHeight="1" x14ac:dyDescent="0.25">
      <c r="A1702" s="85"/>
      <c r="B1702" s="217" t="str">
        <f>IF(A1702&lt;&gt;"",_xlfn.MAXIFS($B$1:B1701,$A$1:A1701,A1702)+1,"")</f>
        <v/>
      </c>
      <c r="C1702" s="50"/>
      <c r="D1702" s="50"/>
      <c r="E1702" s="50"/>
      <c r="F1702" s="50"/>
      <c r="G1702" s="280"/>
      <c r="H1702" s="293"/>
      <c r="I1702" s="292"/>
      <c r="J1702" s="292"/>
      <c r="K1702" s="200"/>
      <c r="L1702" s="200"/>
      <c r="M1702" s="89" t="str">
        <f>IFERROR(VLOOKUP(H1702,Lijsten!$H$1:$I$100,2,0),"")</f>
        <v/>
      </c>
      <c r="N1702" s="89" t="str" cm="1">
        <f t="array" ref="N1702">IFERROR(_xlfn.IFS(AND(LEFT(F1702,6)="Arbeid",RIGHT(F1702,3)&lt;&gt;"IKS"),IFERROR(VLOOKUP($G1702,Tb_KostenTypen[],2,0),"tarief"),RIGHT(F1702,3)="IKS","Uurtarief",LEFT(F1702,6)="Arbeid","Uurtarief",AND(LEFT(F1702,8)="Bijdrage",RIGHT(F1702,15)="(vrijwilligers)"),"Vast tarief"),"")</f>
        <v/>
      </c>
      <c r="O1702" s="90"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0"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1"/>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59"/>
      <c r="Z1702" s="49"/>
      <c r="AA1702" s="37" t="str" cm="1">
        <f t="array" ref="AA1702">IFERROR(IF(INDEX(SubsidieTabel!$Q$1:$T$9,MATCH($F1702,SubsidieTabel!$Q$1:$Q$9,0),IFERROR(MATCH(Methode_Keuze,SubsidieTabel!$Q$1:$T$1,0),2))&lt;&gt;1=TRUE,"ja",""),"")</f>
        <v/>
      </c>
    </row>
    <row r="1703" spans="1:27" ht="15" customHeight="1" x14ac:dyDescent="0.25">
      <c r="A1703" s="85"/>
      <c r="B1703" s="217" t="str">
        <f>IF(A1703&lt;&gt;"",_xlfn.MAXIFS($B$1:B1702,$A$1:A1702,A1703)+1,"")</f>
        <v/>
      </c>
      <c r="C1703" s="50"/>
      <c r="D1703" s="50"/>
      <c r="E1703" s="50"/>
      <c r="F1703" s="50"/>
      <c r="G1703" s="280"/>
      <c r="H1703" s="293"/>
      <c r="I1703" s="292"/>
      <c r="J1703" s="292"/>
      <c r="K1703" s="200"/>
      <c r="L1703" s="200"/>
      <c r="M1703" s="89" t="str">
        <f>IFERROR(VLOOKUP(H1703,Lijsten!$H$1:$I$100,2,0),"")</f>
        <v/>
      </c>
      <c r="N1703" s="89" t="str" cm="1">
        <f t="array" ref="N1703">IFERROR(_xlfn.IFS(AND(LEFT(F1703,6)="Arbeid",RIGHT(F1703,3)&lt;&gt;"IKS"),IFERROR(VLOOKUP($G1703,Tb_KostenTypen[],2,0),"tarief"),RIGHT(F1703,3)="IKS","Uurtarief",LEFT(F1703,6)="Arbeid","Uurtarief",AND(LEFT(F1703,8)="Bijdrage",RIGHT(F1703,15)="(vrijwilligers)"),"Vast tarief"),"")</f>
        <v/>
      </c>
      <c r="O1703" s="90"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0"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1"/>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59"/>
      <c r="Z1703" s="49"/>
      <c r="AA1703" s="37" t="str" cm="1">
        <f t="array" ref="AA1703">IFERROR(IF(INDEX(SubsidieTabel!$Q$1:$T$9,MATCH($F1703,SubsidieTabel!$Q$1:$Q$9,0),IFERROR(MATCH(Methode_Keuze,SubsidieTabel!$Q$1:$T$1,0),2))&lt;&gt;1=TRUE,"ja",""),"")</f>
        <v/>
      </c>
    </row>
    <row r="1704" spans="1:27" ht="15" customHeight="1" x14ac:dyDescent="0.25">
      <c r="A1704" s="85"/>
      <c r="B1704" s="217" t="str">
        <f>IF(A1704&lt;&gt;"",_xlfn.MAXIFS($B$1:B1703,$A$1:A1703,A1704)+1,"")</f>
        <v/>
      </c>
      <c r="C1704" s="50"/>
      <c r="D1704" s="50"/>
      <c r="E1704" s="50"/>
      <c r="F1704" s="50"/>
      <c r="G1704" s="280"/>
      <c r="H1704" s="293"/>
      <c r="I1704" s="292"/>
      <c r="J1704" s="292"/>
      <c r="K1704" s="200"/>
      <c r="L1704" s="200"/>
      <c r="M1704" s="89" t="str">
        <f>IFERROR(VLOOKUP(H1704,Lijsten!$H$1:$I$100,2,0),"")</f>
        <v/>
      </c>
      <c r="N1704" s="89" t="str" cm="1">
        <f t="array" ref="N1704">IFERROR(_xlfn.IFS(AND(LEFT(F1704,6)="Arbeid",RIGHT(F1704,3)&lt;&gt;"IKS"),IFERROR(VLOOKUP($G1704,Tb_KostenTypen[],2,0),"tarief"),RIGHT(F1704,3)="IKS","Uurtarief",LEFT(F1704,6)="Arbeid","Uurtarief",AND(LEFT(F1704,8)="Bijdrage",RIGHT(F1704,15)="(vrijwilligers)"),"Vast tarief"),"")</f>
        <v/>
      </c>
      <c r="O1704" s="90"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0"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1"/>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59"/>
      <c r="Z1704" s="49"/>
      <c r="AA1704" s="37" t="str" cm="1">
        <f t="array" ref="AA1704">IFERROR(IF(INDEX(SubsidieTabel!$Q$1:$T$9,MATCH($F1704,SubsidieTabel!$Q$1:$Q$9,0),IFERROR(MATCH(Methode_Keuze,SubsidieTabel!$Q$1:$T$1,0),2))&lt;&gt;1=TRUE,"ja",""),"")</f>
        <v/>
      </c>
    </row>
    <row r="1705" spans="1:27" ht="15" customHeight="1" x14ac:dyDescent="0.25">
      <c r="A1705" s="85"/>
      <c r="B1705" s="217" t="str">
        <f>IF(A1705&lt;&gt;"",_xlfn.MAXIFS($B$1:B1704,$A$1:A1704,A1705)+1,"")</f>
        <v/>
      </c>
      <c r="C1705" s="50"/>
      <c r="D1705" s="50"/>
      <c r="E1705" s="50"/>
      <c r="F1705" s="50"/>
      <c r="G1705" s="280"/>
      <c r="H1705" s="293"/>
      <c r="I1705" s="292"/>
      <c r="J1705" s="292"/>
      <c r="K1705" s="200"/>
      <c r="L1705" s="200"/>
      <c r="M1705" s="89" t="str">
        <f>IFERROR(VLOOKUP(H1705,Lijsten!$H$1:$I$100,2,0),"")</f>
        <v/>
      </c>
      <c r="N1705" s="89" t="str" cm="1">
        <f t="array" ref="N1705">IFERROR(_xlfn.IFS(AND(LEFT(F1705,6)="Arbeid",RIGHT(F1705,3)&lt;&gt;"IKS"),IFERROR(VLOOKUP($G1705,Tb_KostenTypen[],2,0),"tarief"),RIGHT(F1705,3)="IKS","Uurtarief",LEFT(F1705,6)="Arbeid","Uurtarief",AND(LEFT(F1705,8)="Bijdrage",RIGHT(F1705,15)="(vrijwilligers)"),"Vast tarief"),"")</f>
        <v/>
      </c>
      <c r="O1705" s="90"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0"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1"/>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59"/>
      <c r="Z1705" s="49"/>
      <c r="AA1705" s="37" t="str" cm="1">
        <f t="array" ref="AA1705">IFERROR(IF(INDEX(SubsidieTabel!$Q$1:$T$9,MATCH($F1705,SubsidieTabel!$Q$1:$Q$9,0),IFERROR(MATCH(Methode_Keuze,SubsidieTabel!$Q$1:$T$1,0),2))&lt;&gt;1=TRUE,"ja",""),"")</f>
        <v/>
      </c>
    </row>
    <row r="1706" spans="1:27" ht="15" customHeight="1" x14ac:dyDescent="0.25">
      <c r="A1706" s="85"/>
      <c r="B1706" s="217" t="str">
        <f>IF(A1706&lt;&gt;"",_xlfn.MAXIFS($B$1:B1705,$A$1:A1705,A1706)+1,"")</f>
        <v/>
      </c>
      <c r="C1706" s="50"/>
      <c r="D1706" s="50"/>
      <c r="E1706" s="50"/>
      <c r="F1706" s="50"/>
      <c r="G1706" s="280"/>
      <c r="H1706" s="293"/>
      <c r="I1706" s="292"/>
      <c r="J1706" s="292"/>
      <c r="K1706" s="200"/>
      <c r="L1706" s="200"/>
      <c r="M1706" s="89" t="str">
        <f>IFERROR(VLOOKUP(H1706,Lijsten!$H$1:$I$100,2,0),"")</f>
        <v/>
      </c>
      <c r="N1706" s="89" t="str" cm="1">
        <f t="array" ref="N1706">IFERROR(_xlfn.IFS(AND(LEFT(F1706,6)="Arbeid",RIGHT(F1706,3)&lt;&gt;"IKS"),IFERROR(VLOOKUP($G1706,Tb_KostenTypen[],2,0),"tarief"),RIGHT(F1706,3)="IKS","Uurtarief",LEFT(F1706,6)="Arbeid","Uurtarief",AND(LEFT(F1706,8)="Bijdrage",RIGHT(F1706,15)="(vrijwilligers)"),"Vast tarief"),"")</f>
        <v/>
      </c>
      <c r="O1706" s="90"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0"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1"/>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59"/>
      <c r="Z1706" s="49"/>
      <c r="AA1706" s="37" t="str" cm="1">
        <f t="array" ref="AA1706">IFERROR(IF(INDEX(SubsidieTabel!$Q$1:$T$9,MATCH($F1706,SubsidieTabel!$Q$1:$Q$9,0),IFERROR(MATCH(Methode_Keuze,SubsidieTabel!$Q$1:$T$1,0),2))&lt;&gt;1=TRUE,"ja",""),"")</f>
        <v/>
      </c>
    </row>
    <row r="1707" spans="1:27" ht="15" customHeight="1" x14ac:dyDescent="0.25">
      <c r="A1707" s="85"/>
      <c r="B1707" s="217" t="str">
        <f>IF(A1707&lt;&gt;"",_xlfn.MAXIFS($B$1:B1706,$A$1:A1706,A1707)+1,"")</f>
        <v/>
      </c>
      <c r="C1707" s="50"/>
      <c r="D1707" s="50"/>
      <c r="E1707" s="50"/>
      <c r="F1707" s="50"/>
      <c r="G1707" s="280"/>
      <c r="H1707" s="293"/>
      <c r="I1707" s="292"/>
      <c r="J1707" s="292"/>
      <c r="K1707" s="200"/>
      <c r="L1707" s="200"/>
      <c r="M1707" s="89" t="str">
        <f>IFERROR(VLOOKUP(H1707,Lijsten!$H$1:$I$100,2,0),"")</f>
        <v/>
      </c>
      <c r="N1707" s="89" t="str" cm="1">
        <f t="array" ref="N1707">IFERROR(_xlfn.IFS(AND(LEFT(F1707,6)="Arbeid",RIGHT(F1707,3)&lt;&gt;"IKS"),IFERROR(VLOOKUP($G1707,Tb_KostenTypen[],2,0),"tarief"),RIGHT(F1707,3)="IKS","Uurtarief",LEFT(F1707,6)="Arbeid","Uurtarief",AND(LEFT(F1707,8)="Bijdrage",RIGHT(F1707,15)="(vrijwilligers)"),"Vast tarief"),"")</f>
        <v/>
      </c>
      <c r="O1707" s="90"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0"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1"/>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59"/>
      <c r="Z1707" s="49"/>
      <c r="AA1707" s="37" t="str" cm="1">
        <f t="array" ref="AA1707">IFERROR(IF(INDEX(SubsidieTabel!$Q$1:$T$9,MATCH($F1707,SubsidieTabel!$Q$1:$Q$9,0),IFERROR(MATCH(Methode_Keuze,SubsidieTabel!$Q$1:$T$1,0),2))&lt;&gt;1=TRUE,"ja",""),"")</f>
        <v/>
      </c>
    </row>
    <row r="1708" spans="1:27" ht="15" customHeight="1" x14ac:dyDescent="0.25">
      <c r="A1708" s="85"/>
      <c r="B1708" s="217" t="str">
        <f>IF(A1708&lt;&gt;"",_xlfn.MAXIFS($B$1:B1707,$A$1:A1707,A1708)+1,"")</f>
        <v/>
      </c>
      <c r="C1708" s="50"/>
      <c r="D1708" s="50"/>
      <c r="E1708" s="50"/>
      <c r="F1708" s="50"/>
      <c r="G1708" s="280"/>
      <c r="H1708" s="293"/>
      <c r="I1708" s="292"/>
      <c r="J1708" s="292"/>
      <c r="K1708" s="200"/>
      <c r="L1708" s="200"/>
      <c r="M1708" s="89" t="str">
        <f>IFERROR(VLOOKUP(H1708,Lijsten!$H$1:$I$100,2,0),"")</f>
        <v/>
      </c>
      <c r="N1708" s="89" t="str" cm="1">
        <f t="array" ref="N1708">IFERROR(_xlfn.IFS(AND(LEFT(F1708,6)="Arbeid",RIGHT(F1708,3)&lt;&gt;"IKS"),IFERROR(VLOOKUP($G1708,Tb_KostenTypen[],2,0),"tarief"),RIGHT(F1708,3)="IKS","Uurtarief",LEFT(F1708,6)="Arbeid","Uurtarief",AND(LEFT(F1708,8)="Bijdrage",RIGHT(F1708,15)="(vrijwilligers)"),"Vast tarief"),"")</f>
        <v/>
      </c>
      <c r="O1708" s="90"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0"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1"/>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59"/>
      <c r="Z1708" s="49"/>
      <c r="AA1708" s="37" t="str" cm="1">
        <f t="array" ref="AA1708">IFERROR(IF(INDEX(SubsidieTabel!$Q$1:$T$9,MATCH($F1708,SubsidieTabel!$Q$1:$Q$9,0),IFERROR(MATCH(Methode_Keuze,SubsidieTabel!$Q$1:$T$1,0),2))&lt;&gt;1=TRUE,"ja",""),"")</f>
        <v/>
      </c>
    </row>
    <row r="1709" spans="1:27" ht="15" customHeight="1" x14ac:dyDescent="0.25">
      <c r="A1709" s="85"/>
      <c r="B1709" s="217" t="str">
        <f>IF(A1709&lt;&gt;"",_xlfn.MAXIFS($B$1:B1708,$A$1:A1708,A1709)+1,"")</f>
        <v/>
      </c>
      <c r="C1709" s="50"/>
      <c r="D1709" s="50"/>
      <c r="E1709" s="50"/>
      <c r="F1709" s="50"/>
      <c r="G1709" s="280"/>
      <c r="H1709" s="293"/>
      <c r="I1709" s="292"/>
      <c r="J1709" s="292"/>
      <c r="K1709" s="200"/>
      <c r="L1709" s="200"/>
      <c r="M1709" s="89" t="str">
        <f>IFERROR(VLOOKUP(H1709,Lijsten!$H$1:$I$100,2,0),"")</f>
        <v/>
      </c>
      <c r="N1709" s="89" t="str" cm="1">
        <f t="array" ref="N1709">IFERROR(_xlfn.IFS(AND(LEFT(F1709,6)="Arbeid",RIGHT(F1709,3)&lt;&gt;"IKS"),IFERROR(VLOOKUP($G1709,Tb_KostenTypen[],2,0),"tarief"),RIGHT(F1709,3)="IKS","Uurtarief",LEFT(F1709,6)="Arbeid","Uurtarief",AND(LEFT(F1709,8)="Bijdrage",RIGHT(F1709,15)="(vrijwilligers)"),"Vast tarief"),"")</f>
        <v/>
      </c>
      <c r="O1709" s="90"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0"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1"/>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59"/>
      <c r="Z1709" s="49"/>
      <c r="AA1709" s="37" t="str" cm="1">
        <f t="array" ref="AA1709">IFERROR(IF(INDEX(SubsidieTabel!$Q$1:$T$9,MATCH($F1709,SubsidieTabel!$Q$1:$Q$9,0),IFERROR(MATCH(Methode_Keuze,SubsidieTabel!$Q$1:$T$1,0),2))&lt;&gt;1=TRUE,"ja",""),"")</f>
        <v/>
      </c>
    </row>
    <row r="1710" spans="1:27" ht="15" customHeight="1" x14ac:dyDescent="0.25">
      <c r="A1710" s="85"/>
      <c r="B1710" s="217" t="str">
        <f>IF(A1710&lt;&gt;"",_xlfn.MAXIFS($B$1:B1709,$A$1:A1709,A1710)+1,"")</f>
        <v/>
      </c>
      <c r="C1710" s="50"/>
      <c r="D1710" s="50"/>
      <c r="E1710" s="50"/>
      <c r="F1710" s="50"/>
      <c r="G1710" s="280"/>
      <c r="H1710" s="293"/>
      <c r="I1710" s="292"/>
      <c r="J1710" s="292"/>
      <c r="K1710" s="200"/>
      <c r="L1710" s="200"/>
      <c r="M1710" s="89" t="str">
        <f>IFERROR(VLOOKUP(H1710,Lijsten!$H$1:$I$100,2,0),"")</f>
        <v/>
      </c>
      <c r="N1710" s="89" t="str" cm="1">
        <f t="array" ref="N1710">IFERROR(_xlfn.IFS(AND(LEFT(F1710,6)="Arbeid",RIGHT(F1710,3)&lt;&gt;"IKS"),IFERROR(VLOOKUP($G1710,Tb_KostenTypen[],2,0),"tarief"),RIGHT(F1710,3)="IKS","Uurtarief",LEFT(F1710,6)="Arbeid","Uurtarief",AND(LEFT(F1710,8)="Bijdrage",RIGHT(F1710,15)="(vrijwilligers)"),"Vast tarief"),"")</f>
        <v/>
      </c>
      <c r="O1710" s="90"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0"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1"/>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59"/>
      <c r="Z1710" s="49"/>
      <c r="AA1710" s="37" t="str" cm="1">
        <f t="array" ref="AA1710">IFERROR(IF(INDEX(SubsidieTabel!$Q$1:$T$9,MATCH($F1710,SubsidieTabel!$Q$1:$Q$9,0),IFERROR(MATCH(Methode_Keuze,SubsidieTabel!$Q$1:$T$1,0),2))&lt;&gt;1=TRUE,"ja",""),"")</f>
        <v/>
      </c>
    </row>
    <row r="1711" spans="1:27" ht="15" customHeight="1" x14ac:dyDescent="0.25">
      <c r="A1711" s="85"/>
      <c r="B1711" s="217" t="str">
        <f>IF(A1711&lt;&gt;"",_xlfn.MAXIFS($B$1:B1710,$A$1:A1710,A1711)+1,"")</f>
        <v/>
      </c>
      <c r="C1711" s="50"/>
      <c r="D1711" s="50"/>
      <c r="E1711" s="50"/>
      <c r="F1711" s="50"/>
      <c r="G1711" s="280"/>
      <c r="H1711" s="293"/>
      <c r="I1711" s="292"/>
      <c r="J1711" s="292"/>
      <c r="K1711" s="200"/>
      <c r="L1711" s="200"/>
      <c r="M1711" s="89" t="str">
        <f>IFERROR(VLOOKUP(H1711,Lijsten!$H$1:$I$100,2,0),"")</f>
        <v/>
      </c>
      <c r="N1711" s="89" t="str" cm="1">
        <f t="array" ref="N1711">IFERROR(_xlfn.IFS(AND(LEFT(F1711,6)="Arbeid",RIGHT(F1711,3)&lt;&gt;"IKS"),IFERROR(VLOOKUP($G1711,Tb_KostenTypen[],2,0),"tarief"),RIGHT(F1711,3)="IKS","Uurtarief",LEFT(F1711,6)="Arbeid","Uurtarief",AND(LEFT(F1711,8)="Bijdrage",RIGHT(F1711,15)="(vrijwilligers)"),"Vast tarief"),"")</f>
        <v/>
      </c>
      <c r="O1711" s="90"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0"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1"/>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59"/>
      <c r="Z1711" s="49"/>
      <c r="AA1711" s="37" t="str" cm="1">
        <f t="array" ref="AA1711">IFERROR(IF(INDEX(SubsidieTabel!$Q$1:$T$9,MATCH($F1711,SubsidieTabel!$Q$1:$Q$9,0),IFERROR(MATCH(Methode_Keuze,SubsidieTabel!$Q$1:$T$1,0),2))&lt;&gt;1=TRUE,"ja",""),"")</f>
        <v/>
      </c>
    </row>
    <row r="1712" spans="1:27" ht="15" customHeight="1" x14ac:dyDescent="0.25">
      <c r="A1712" s="85"/>
      <c r="B1712" s="217" t="str">
        <f>IF(A1712&lt;&gt;"",_xlfn.MAXIFS($B$1:B1711,$A$1:A1711,A1712)+1,"")</f>
        <v/>
      </c>
      <c r="C1712" s="50"/>
      <c r="D1712" s="50"/>
      <c r="E1712" s="50"/>
      <c r="F1712" s="50"/>
      <c r="G1712" s="280"/>
      <c r="H1712" s="293"/>
      <c r="I1712" s="292"/>
      <c r="J1712" s="292"/>
      <c r="K1712" s="200"/>
      <c r="L1712" s="200"/>
      <c r="M1712" s="89" t="str">
        <f>IFERROR(VLOOKUP(H1712,Lijsten!$H$1:$I$100,2,0),"")</f>
        <v/>
      </c>
      <c r="N1712" s="89" t="str" cm="1">
        <f t="array" ref="N1712">IFERROR(_xlfn.IFS(AND(LEFT(F1712,6)="Arbeid",RIGHT(F1712,3)&lt;&gt;"IKS"),IFERROR(VLOOKUP($G1712,Tb_KostenTypen[],2,0),"tarief"),RIGHT(F1712,3)="IKS","Uurtarief",LEFT(F1712,6)="Arbeid","Uurtarief",AND(LEFT(F1712,8)="Bijdrage",RIGHT(F1712,15)="(vrijwilligers)"),"Vast tarief"),"")</f>
        <v/>
      </c>
      <c r="O1712" s="90"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0"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1"/>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59"/>
      <c r="Z1712" s="49"/>
      <c r="AA1712" s="37" t="str" cm="1">
        <f t="array" ref="AA1712">IFERROR(IF(INDEX(SubsidieTabel!$Q$1:$T$9,MATCH($F1712,SubsidieTabel!$Q$1:$Q$9,0),IFERROR(MATCH(Methode_Keuze,SubsidieTabel!$Q$1:$T$1,0),2))&lt;&gt;1=TRUE,"ja",""),"")</f>
        <v/>
      </c>
    </row>
    <row r="1713" spans="1:27" ht="15" customHeight="1" x14ac:dyDescent="0.25">
      <c r="A1713" s="85"/>
      <c r="B1713" s="217" t="str">
        <f>IF(A1713&lt;&gt;"",_xlfn.MAXIFS($B$1:B1712,$A$1:A1712,A1713)+1,"")</f>
        <v/>
      </c>
      <c r="C1713" s="50"/>
      <c r="D1713" s="50"/>
      <c r="E1713" s="50"/>
      <c r="F1713" s="50"/>
      <c r="G1713" s="280"/>
      <c r="H1713" s="293"/>
      <c r="I1713" s="292"/>
      <c r="J1713" s="292"/>
      <c r="K1713" s="200"/>
      <c r="L1713" s="200"/>
      <c r="M1713" s="89" t="str">
        <f>IFERROR(VLOOKUP(H1713,Lijsten!$H$1:$I$100,2,0),"")</f>
        <v/>
      </c>
      <c r="N1713" s="89" t="str" cm="1">
        <f t="array" ref="N1713">IFERROR(_xlfn.IFS(AND(LEFT(F1713,6)="Arbeid",RIGHT(F1713,3)&lt;&gt;"IKS"),IFERROR(VLOOKUP($G1713,Tb_KostenTypen[],2,0),"tarief"),RIGHT(F1713,3)="IKS","Uurtarief",LEFT(F1713,6)="Arbeid","Uurtarief",AND(LEFT(F1713,8)="Bijdrage",RIGHT(F1713,15)="(vrijwilligers)"),"Vast tarief"),"")</f>
        <v/>
      </c>
      <c r="O1713" s="90"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0"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1"/>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59"/>
      <c r="Z1713" s="49"/>
      <c r="AA1713" s="37" t="str" cm="1">
        <f t="array" ref="AA1713">IFERROR(IF(INDEX(SubsidieTabel!$Q$1:$T$9,MATCH($F1713,SubsidieTabel!$Q$1:$Q$9,0),IFERROR(MATCH(Methode_Keuze,SubsidieTabel!$Q$1:$T$1,0),2))&lt;&gt;1=TRUE,"ja",""),"")</f>
        <v/>
      </c>
    </row>
    <row r="1714" spans="1:27" ht="15" customHeight="1" x14ac:dyDescent="0.25">
      <c r="A1714" s="85"/>
      <c r="B1714" s="217" t="str">
        <f>IF(A1714&lt;&gt;"",_xlfn.MAXIFS($B$1:B1713,$A$1:A1713,A1714)+1,"")</f>
        <v/>
      </c>
      <c r="C1714" s="50"/>
      <c r="D1714" s="50"/>
      <c r="E1714" s="50"/>
      <c r="F1714" s="50"/>
      <c r="G1714" s="280"/>
      <c r="H1714" s="293"/>
      <c r="I1714" s="292"/>
      <c r="J1714" s="292"/>
      <c r="K1714" s="200"/>
      <c r="L1714" s="200"/>
      <c r="M1714" s="89" t="str">
        <f>IFERROR(VLOOKUP(H1714,Lijsten!$H$1:$I$100,2,0),"")</f>
        <v/>
      </c>
      <c r="N1714" s="89" t="str" cm="1">
        <f t="array" ref="N1714">IFERROR(_xlfn.IFS(AND(LEFT(F1714,6)="Arbeid",RIGHT(F1714,3)&lt;&gt;"IKS"),IFERROR(VLOOKUP($G1714,Tb_KostenTypen[],2,0),"tarief"),RIGHT(F1714,3)="IKS","Uurtarief",LEFT(F1714,6)="Arbeid","Uurtarief",AND(LEFT(F1714,8)="Bijdrage",RIGHT(F1714,15)="(vrijwilligers)"),"Vast tarief"),"")</f>
        <v/>
      </c>
      <c r="O1714" s="90"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0"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1"/>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59"/>
      <c r="Z1714" s="49"/>
      <c r="AA1714" s="37" t="str" cm="1">
        <f t="array" ref="AA1714">IFERROR(IF(INDEX(SubsidieTabel!$Q$1:$T$9,MATCH($F1714,SubsidieTabel!$Q$1:$Q$9,0),IFERROR(MATCH(Methode_Keuze,SubsidieTabel!$Q$1:$T$1,0),2))&lt;&gt;1=TRUE,"ja",""),"")</f>
        <v/>
      </c>
    </row>
    <row r="1715" spans="1:27" ht="15" customHeight="1" x14ac:dyDescent="0.25">
      <c r="A1715" s="85"/>
      <c r="B1715" s="217" t="str">
        <f>IF(A1715&lt;&gt;"",_xlfn.MAXIFS($B$1:B1714,$A$1:A1714,A1715)+1,"")</f>
        <v/>
      </c>
      <c r="C1715" s="50"/>
      <c r="D1715" s="50"/>
      <c r="E1715" s="50"/>
      <c r="F1715" s="50"/>
      <c r="G1715" s="280"/>
      <c r="H1715" s="293"/>
      <c r="I1715" s="292"/>
      <c r="J1715" s="292"/>
      <c r="K1715" s="200"/>
      <c r="L1715" s="200"/>
      <c r="M1715" s="89" t="str">
        <f>IFERROR(VLOOKUP(H1715,Lijsten!$H$1:$I$100,2,0),"")</f>
        <v/>
      </c>
      <c r="N1715" s="89" t="str" cm="1">
        <f t="array" ref="N1715">IFERROR(_xlfn.IFS(AND(LEFT(F1715,6)="Arbeid",RIGHT(F1715,3)&lt;&gt;"IKS"),IFERROR(VLOOKUP($G1715,Tb_KostenTypen[],2,0),"tarief"),RIGHT(F1715,3)="IKS","Uurtarief",LEFT(F1715,6)="Arbeid","Uurtarief",AND(LEFT(F1715,8)="Bijdrage",RIGHT(F1715,15)="(vrijwilligers)"),"Vast tarief"),"")</f>
        <v/>
      </c>
      <c r="O1715" s="90"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0"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1"/>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59"/>
      <c r="Z1715" s="49"/>
      <c r="AA1715" s="37" t="str" cm="1">
        <f t="array" ref="AA1715">IFERROR(IF(INDEX(SubsidieTabel!$Q$1:$T$9,MATCH($F1715,SubsidieTabel!$Q$1:$Q$9,0),IFERROR(MATCH(Methode_Keuze,SubsidieTabel!$Q$1:$T$1,0),2))&lt;&gt;1=TRUE,"ja",""),"")</f>
        <v/>
      </c>
    </row>
    <row r="1716" spans="1:27" ht="15" customHeight="1" x14ac:dyDescent="0.25">
      <c r="A1716" s="85"/>
      <c r="B1716" s="217" t="str">
        <f>IF(A1716&lt;&gt;"",_xlfn.MAXIFS($B$1:B1715,$A$1:A1715,A1716)+1,"")</f>
        <v/>
      </c>
      <c r="C1716" s="50"/>
      <c r="D1716" s="50"/>
      <c r="E1716" s="50"/>
      <c r="F1716" s="50"/>
      <c r="G1716" s="280"/>
      <c r="H1716" s="293"/>
      <c r="I1716" s="292"/>
      <c r="J1716" s="292"/>
      <c r="K1716" s="200"/>
      <c r="L1716" s="200"/>
      <c r="M1716" s="89" t="str">
        <f>IFERROR(VLOOKUP(H1716,Lijsten!$H$1:$I$100,2,0),"")</f>
        <v/>
      </c>
      <c r="N1716" s="89" t="str" cm="1">
        <f t="array" ref="N1716">IFERROR(_xlfn.IFS(AND(LEFT(F1716,6)="Arbeid",RIGHT(F1716,3)&lt;&gt;"IKS"),IFERROR(VLOOKUP($G1716,Tb_KostenTypen[],2,0),"tarief"),RIGHT(F1716,3)="IKS","Uurtarief",LEFT(F1716,6)="Arbeid","Uurtarief",AND(LEFT(F1716,8)="Bijdrage",RIGHT(F1716,15)="(vrijwilligers)"),"Vast tarief"),"")</f>
        <v/>
      </c>
      <c r="O1716" s="90"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0"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1"/>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59"/>
      <c r="Z1716" s="49"/>
      <c r="AA1716" s="37" t="str" cm="1">
        <f t="array" ref="AA1716">IFERROR(IF(INDEX(SubsidieTabel!$Q$1:$T$9,MATCH($F1716,SubsidieTabel!$Q$1:$Q$9,0),IFERROR(MATCH(Methode_Keuze,SubsidieTabel!$Q$1:$T$1,0),2))&lt;&gt;1=TRUE,"ja",""),"")</f>
        <v/>
      </c>
    </row>
    <row r="1717" spans="1:27" ht="15" customHeight="1" x14ac:dyDescent="0.25">
      <c r="A1717" s="85"/>
      <c r="B1717" s="217" t="str">
        <f>IF(A1717&lt;&gt;"",_xlfn.MAXIFS($B$1:B1716,$A$1:A1716,A1717)+1,"")</f>
        <v/>
      </c>
      <c r="C1717" s="50"/>
      <c r="D1717" s="50"/>
      <c r="E1717" s="50"/>
      <c r="F1717" s="50"/>
      <c r="G1717" s="280"/>
      <c r="H1717" s="293"/>
      <c r="I1717" s="292"/>
      <c r="J1717" s="292"/>
      <c r="K1717" s="200"/>
      <c r="L1717" s="200"/>
      <c r="M1717" s="89" t="str">
        <f>IFERROR(VLOOKUP(H1717,Lijsten!$H$1:$I$100,2,0),"")</f>
        <v/>
      </c>
      <c r="N1717" s="89" t="str" cm="1">
        <f t="array" ref="N1717">IFERROR(_xlfn.IFS(AND(LEFT(F1717,6)="Arbeid",RIGHT(F1717,3)&lt;&gt;"IKS"),IFERROR(VLOOKUP($G1717,Tb_KostenTypen[],2,0),"tarief"),RIGHT(F1717,3)="IKS","Uurtarief",LEFT(F1717,6)="Arbeid","Uurtarief",AND(LEFT(F1717,8)="Bijdrage",RIGHT(F1717,15)="(vrijwilligers)"),"Vast tarief"),"")</f>
        <v/>
      </c>
      <c r="O1717" s="90"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0"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1"/>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59"/>
      <c r="Z1717" s="49"/>
      <c r="AA1717" s="37" t="str" cm="1">
        <f t="array" ref="AA1717">IFERROR(IF(INDEX(SubsidieTabel!$Q$1:$T$9,MATCH($F1717,SubsidieTabel!$Q$1:$Q$9,0),IFERROR(MATCH(Methode_Keuze,SubsidieTabel!$Q$1:$T$1,0),2))&lt;&gt;1=TRUE,"ja",""),"")</f>
        <v/>
      </c>
    </row>
    <row r="1718" spans="1:27" ht="15" customHeight="1" x14ac:dyDescent="0.25">
      <c r="A1718" s="85"/>
      <c r="B1718" s="217" t="str">
        <f>IF(A1718&lt;&gt;"",_xlfn.MAXIFS($B$1:B1717,$A$1:A1717,A1718)+1,"")</f>
        <v/>
      </c>
      <c r="C1718" s="50"/>
      <c r="D1718" s="50"/>
      <c r="E1718" s="50"/>
      <c r="F1718" s="50"/>
      <c r="G1718" s="280"/>
      <c r="H1718" s="293"/>
      <c r="I1718" s="292"/>
      <c r="J1718" s="292"/>
      <c r="K1718" s="200"/>
      <c r="L1718" s="200"/>
      <c r="M1718" s="89" t="str">
        <f>IFERROR(VLOOKUP(H1718,Lijsten!$H$1:$I$100,2,0),"")</f>
        <v/>
      </c>
      <c r="N1718" s="89" t="str" cm="1">
        <f t="array" ref="N1718">IFERROR(_xlfn.IFS(AND(LEFT(F1718,6)="Arbeid",RIGHT(F1718,3)&lt;&gt;"IKS"),IFERROR(VLOOKUP($G1718,Tb_KostenTypen[],2,0),"tarief"),RIGHT(F1718,3)="IKS","Uurtarief",LEFT(F1718,6)="Arbeid","Uurtarief",AND(LEFT(F1718,8)="Bijdrage",RIGHT(F1718,15)="(vrijwilligers)"),"Vast tarief"),"")</f>
        <v/>
      </c>
      <c r="O1718" s="90"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0"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1"/>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59"/>
      <c r="Z1718" s="49"/>
      <c r="AA1718" s="37" t="str" cm="1">
        <f t="array" ref="AA1718">IFERROR(IF(INDEX(SubsidieTabel!$Q$1:$T$9,MATCH($F1718,SubsidieTabel!$Q$1:$Q$9,0),IFERROR(MATCH(Methode_Keuze,SubsidieTabel!$Q$1:$T$1,0),2))&lt;&gt;1=TRUE,"ja",""),"")</f>
        <v/>
      </c>
    </row>
    <row r="1719" spans="1:27" ht="15" customHeight="1" x14ac:dyDescent="0.25">
      <c r="A1719" s="85"/>
      <c r="B1719" s="217" t="str">
        <f>IF(A1719&lt;&gt;"",_xlfn.MAXIFS($B$1:B1718,$A$1:A1718,A1719)+1,"")</f>
        <v/>
      </c>
      <c r="C1719" s="50"/>
      <c r="D1719" s="50"/>
      <c r="E1719" s="50"/>
      <c r="F1719" s="50"/>
      <c r="G1719" s="280"/>
      <c r="H1719" s="293"/>
      <c r="I1719" s="292"/>
      <c r="J1719" s="292"/>
      <c r="K1719" s="200"/>
      <c r="L1719" s="200"/>
      <c r="M1719" s="89" t="str">
        <f>IFERROR(VLOOKUP(H1719,Lijsten!$H$1:$I$100,2,0),"")</f>
        <v/>
      </c>
      <c r="N1719" s="89" t="str" cm="1">
        <f t="array" ref="N1719">IFERROR(_xlfn.IFS(AND(LEFT(F1719,6)="Arbeid",RIGHT(F1719,3)&lt;&gt;"IKS"),IFERROR(VLOOKUP($G1719,Tb_KostenTypen[],2,0),"tarief"),RIGHT(F1719,3)="IKS","Uurtarief",LEFT(F1719,6)="Arbeid","Uurtarief",AND(LEFT(F1719,8)="Bijdrage",RIGHT(F1719,15)="(vrijwilligers)"),"Vast tarief"),"")</f>
        <v/>
      </c>
      <c r="O1719" s="90"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0"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1"/>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59"/>
      <c r="Z1719" s="49"/>
      <c r="AA1719" s="37" t="str" cm="1">
        <f t="array" ref="AA1719">IFERROR(IF(INDEX(SubsidieTabel!$Q$1:$T$9,MATCH($F1719,SubsidieTabel!$Q$1:$Q$9,0),IFERROR(MATCH(Methode_Keuze,SubsidieTabel!$Q$1:$T$1,0),2))&lt;&gt;1=TRUE,"ja",""),"")</f>
        <v/>
      </c>
    </row>
    <row r="1720" spans="1:27" ht="15" customHeight="1" x14ac:dyDescent="0.25">
      <c r="A1720" s="85"/>
      <c r="B1720" s="217" t="str">
        <f>IF(A1720&lt;&gt;"",_xlfn.MAXIFS($B$1:B1719,$A$1:A1719,A1720)+1,"")</f>
        <v/>
      </c>
      <c r="C1720" s="50"/>
      <c r="D1720" s="50"/>
      <c r="E1720" s="50"/>
      <c r="F1720" s="50"/>
      <c r="G1720" s="280"/>
      <c r="H1720" s="293"/>
      <c r="I1720" s="292"/>
      <c r="J1720" s="292"/>
      <c r="K1720" s="200"/>
      <c r="L1720" s="200"/>
      <c r="M1720" s="89" t="str">
        <f>IFERROR(VLOOKUP(H1720,Lijsten!$H$1:$I$100,2,0),"")</f>
        <v/>
      </c>
      <c r="N1720" s="89" t="str" cm="1">
        <f t="array" ref="N1720">IFERROR(_xlfn.IFS(AND(LEFT(F1720,6)="Arbeid",RIGHT(F1720,3)&lt;&gt;"IKS"),IFERROR(VLOOKUP($G1720,Tb_KostenTypen[],2,0),"tarief"),RIGHT(F1720,3)="IKS","Uurtarief",LEFT(F1720,6)="Arbeid","Uurtarief",AND(LEFT(F1720,8)="Bijdrage",RIGHT(F1720,15)="(vrijwilligers)"),"Vast tarief"),"")</f>
        <v/>
      </c>
      <c r="O1720" s="90"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0"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1"/>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59"/>
      <c r="Z1720" s="49"/>
      <c r="AA1720" s="37" t="str" cm="1">
        <f t="array" ref="AA1720">IFERROR(IF(INDEX(SubsidieTabel!$Q$1:$T$9,MATCH($F1720,SubsidieTabel!$Q$1:$Q$9,0),IFERROR(MATCH(Methode_Keuze,SubsidieTabel!$Q$1:$T$1,0),2))&lt;&gt;1=TRUE,"ja",""),"")</f>
        <v/>
      </c>
    </row>
    <row r="1721" spans="1:27" ht="15" customHeight="1" x14ac:dyDescent="0.25">
      <c r="A1721" s="85"/>
      <c r="B1721" s="217" t="str">
        <f>IF(A1721&lt;&gt;"",_xlfn.MAXIFS($B$1:B1720,$A$1:A1720,A1721)+1,"")</f>
        <v/>
      </c>
      <c r="C1721" s="50"/>
      <c r="D1721" s="50"/>
      <c r="E1721" s="50"/>
      <c r="F1721" s="50"/>
      <c r="G1721" s="280"/>
      <c r="H1721" s="293"/>
      <c r="I1721" s="292"/>
      <c r="J1721" s="292"/>
      <c r="K1721" s="200"/>
      <c r="L1721" s="200"/>
      <c r="M1721" s="89" t="str">
        <f>IFERROR(VLOOKUP(H1721,Lijsten!$H$1:$I$100,2,0),"")</f>
        <v/>
      </c>
      <c r="N1721" s="89" t="str" cm="1">
        <f t="array" ref="N1721">IFERROR(_xlfn.IFS(AND(LEFT(F1721,6)="Arbeid",RIGHT(F1721,3)&lt;&gt;"IKS"),IFERROR(VLOOKUP($G1721,Tb_KostenTypen[],2,0),"tarief"),RIGHT(F1721,3)="IKS","Uurtarief",LEFT(F1721,6)="Arbeid","Uurtarief",AND(LEFT(F1721,8)="Bijdrage",RIGHT(F1721,15)="(vrijwilligers)"),"Vast tarief"),"")</f>
        <v/>
      </c>
      <c r="O1721" s="90"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0"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1"/>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59"/>
      <c r="Z1721" s="49"/>
      <c r="AA1721" s="37" t="str" cm="1">
        <f t="array" ref="AA1721">IFERROR(IF(INDEX(SubsidieTabel!$Q$1:$T$9,MATCH($F1721,SubsidieTabel!$Q$1:$Q$9,0),IFERROR(MATCH(Methode_Keuze,SubsidieTabel!$Q$1:$T$1,0),2))&lt;&gt;1=TRUE,"ja",""),"")</f>
        <v/>
      </c>
    </row>
    <row r="1722" spans="1:27" ht="15" customHeight="1" x14ac:dyDescent="0.25">
      <c r="A1722" s="85"/>
      <c r="B1722" s="217" t="str">
        <f>IF(A1722&lt;&gt;"",_xlfn.MAXIFS($B$1:B1721,$A$1:A1721,A1722)+1,"")</f>
        <v/>
      </c>
      <c r="C1722" s="50"/>
      <c r="D1722" s="50"/>
      <c r="E1722" s="50"/>
      <c r="F1722" s="50"/>
      <c r="G1722" s="280"/>
      <c r="H1722" s="293"/>
      <c r="I1722" s="292"/>
      <c r="J1722" s="292"/>
      <c r="K1722" s="200"/>
      <c r="L1722" s="200"/>
      <c r="M1722" s="89" t="str">
        <f>IFERROR(VLOOKUP(H1722,Lijsten!$H$1:$I$100,2,0),"")</f>
        <v/>
      </c>
      <c r="N1722" s="89" t="str" cm="1">
        <f t="array" ref="N1722">IFERROR(_xlfn.IFS(AND(LEFT(F1722,6)="Arbeid",RIGHT(F1722,3)&lt;&gt;"IKS"),IFERROR(VLOOKUP($G1722,Tb_KostenTypen[],2,0),"tarief"),RIGHT(F1722,3)="IKS","Uurtarief",LEFT(F1722,6)="Arbeid","Uurtarief",AND(LEFT(F1722,8)="Bijdrage",RIGHT(F1722,15)="(vrijwilligers)"),"Vast tarief"),"")</f>
        <v/>
      </c>
      <c r="O1722" s="90"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0"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1"/>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59"/>
      <c r="Z1722" s="49"/>
      <c r="AA1722" s="37" t="str" cm="1">
        <f t="array" ref="AA1722">IFERROR(IF(INDEX(SubsidieTabel!$Q$1:$T$9,MATCH($F1722,SubsidieTabel!$Q$1:$Q$9,0),IFERROR(MATCH(Methode_Keuze,SubsidieTabel!$Q$1:$T$1,0),2))&lt;&gt;1=TRUE,"ja",""),"")</f>
        <v/>
      </c>
    </row>
    <row r="1723" spans="1:27" ht="15" customHeight="1" x14ac:dyDescent="0.25">
      <c r="A1723" s="85"/>
      <c r="B1723" s="217" t="str">
        <f>IF(A1723&lt;&gt;"",_xlfn.MAXIFS($B$1:B1722,$A$1:A1722,A1723)+1,"")</f>
        <v/>
      </c>
      <c r="C1723" s="50"/>
      <c r="D1723" s="50"/>
      <c r="E1723" s="50"/>
      <c r="F1723" s="50"/>
      <c r="G1723" s="280"/>
      <c r="H1723" s="293"/>
      <c r="I1723" s="292"/>
      <c r="J1723" s="292"/>
      <c r="K1723" s="200"/>
      <c r="L1723" s="200"/>
      <c r="M1723" s="89" t="str">
        <f>IFERROR(VLOOKUP(H1723,Lijsten!$H$1:$I$100,2,0),"")</f>
        <v/>
      </c>
      <c r="N1723" s="89" t="str" cm="1">
        <f t="array" ref="N1723">IFERROR(_xlfn.IFS(AND(LEFT(F1723,6)="Arbeid",RIGHT(F1723,3)&lt;&gt;"IKS"),IFERROR(VLOOKUP($G1723,Tb_KostenTypen[],2,0),"tarief"),RIGHT(F1723,3)="IKS","Uurtarief",LEFT(F1723,6)="Arbeid","Uurtarief",AND(LEFT(F1723,8)="Bijdrage",RIGHT(F1723,15)="(vrijwilligers)"),"Vast tarief"),"")</f>
        <v/>
      </c>
      <c r="O1723" s="90"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0"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1"/>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59"/>
      <c r="Z1723" s="49"/>
      <c r="AA1723" s="37" t="str" cm="1">
        <f t="array" ref="AA1723">IFERROR(IF(INDEX(SubsidieTabel!$Q$1:$T$9,MATCH($F1723,SubsidieTabel!$Q$1:$Q$9,0),IFERROR(MATCH(Methode_Keuze,SubsidieTabel!$Q$1:$T$1,0),2))&lt;&gt;1=TRUE,"ja",""),"")</f>
        <v/>
      </c>
    </row>
    <row r="1724" spans="1:27" ht="15" customHeight="1" x14ac:dyDescent="0.25">
      <c r="A1724" s="85"/>
      <c r="B1724" s="217" t="str">
        <f>IF(A1724&lt;&gt;"",_xlfn.MAXIFS($B$1:B1723,$A$1:A1723,A1724)+1,"")</f>
        <v/>
      </c>
      <c r="C1724" s="50"/>
      <c r="D1724" s="50"/>
      <c r="E1724" s="50"/>
      <c r="F1724" s="50"/>
      <c r="G1724" s="280"/>
      <c r="H1724" s="293"/>
      <c r="I1724" s="292"/>
      <c r="J1724" s="292"/>
      <c r="K1724" s="200"/>
      <c r="L1724" s="200"/>
      <c r="M1724" s="89" t="str">
        <f>IFERROR(VLOOKUP(H1724,Lijsten!$H$1:$I$100,2,0),"")</f>
        <v/>
      </c>
      <c r="N1724" s="89" t="str" cm="1">
        <f t="array" ref="N1724">IFERROR(_xlfn.IFS(AND(LEFT(F1724,6)="Arbeid",RIGHT(F1724,3)&lt;&gt;"IKS"),IFERROR(VLOOKUP($G1724,Tb_KostenTypen[],2,0),"tarief"),RIGHT(F1724,3)="IKS","Uurtarief",LEFT(F1724,6)="Arbeid","Uurtarief",AND(LEFT(F1724,8)="Bijdrage",RIGHT(F1724,15)="(vrijwilligers)"),"Vast tarief"),"")</f>
        <v/>
      </c>
      <c r="O1724" s="90"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0"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1"/>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59"/>
      <c r="Z1724" s="49"/>
      <c r="AA1724" s="37" t="str" cm="1">
        <f t="array" ref="AA1724">IFERROR(IF(INDEX(SubsidieTabel!$Q$1:$T$9,MATCH($F1724,SubsidieTabel!$Q$1:$Q$9,0),IFERROR(MATCH(Methode_Keuze,SubsidieTabel!$Q$1:$T$1,0),2))&lt;&gt;1=TRUE,"ja",""),"")</f>
        <v/>
      </c>
    </row>
    <row r="1725" spans="1:27" ht="15" customHeight="1" x14ac:dyDescent="0.25">
      <c r="A1725" s="85"/>
      <c r="B1725" s="217" t="str">
        <f>IF(A1725&lt;&gt;"",_xlfn.MAXIFS($B$1:B1724,$A$1:A1724,A1725)+1,"")</f>
        <v/>
      </c>
      <c r="C1725" s="50"/>
      <c r="D1725" s="50"/>
      <c r="E1725" s="50"/>
      <c r="F1725" s="50"/>
      <c r="G1725" s="280"/>
      <c r="H1725" s="293"/>
      <c r="I1725" s="292"/>
      <c r="J1725" s="292"/>
      <c r="K1725" s="200"/>
      <c r="L1725" s="200"/>
      <c r="M1725" s="89" t="str">
        <f>IFERROR(VLOOKUP(H1725,Lijsten!$H$1:$I$100,2,0),"")</f>
        <v/>
      </c>
      <c r="N1725" s="89" t="str" cm="1">
        <f t="array" ref="N1725">IFERROR(_xlfn.IFS(AND(LEFT(F1725,6)="Arbeid",RIGHT(F1725,3)&lt;&gt;"IKS"),IFERROR(VLOOKUP($G1725,Tb_KostenTypen[],2,0),"tarief"),RIGHT(F1725,3)="IKS","Uurtarief",LEFT(F1725,6)="Arbeid","Uurtarief",AND(LEFT(F1725,8)="Bijdrage",RIGHT(F1725,15)="(vrijwilligers)"),"Vast tarief"),"")</f>
        <v/>
      </c>
      <c r="O1725" s="90"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0"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1"/>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59"/>
      <c r="Z1725" s="49"/>
      <c r="AA1725" s="37" t="str" cm="1">
        <f t="array" ref="AA1725">IFERROR(IF(INDEX(SubsidieTabel!$Q$1:$T$9,MATCH($F1725,SubsidieTabel!$Q$1:$Q$9,0),IFERROR(MATCH(Methode_Keuze,SubsidieTabel!$Q$1:$T$1,0),2))&lt;&gt;1=TRUE,"ja",""),"")</f>
        <v/>
      </c>
    </row>
    <row r="1726" spans="1:27" ht="15" customHeight="1" x14ac:dyDescent="0.25">
      <c r="A1726" s="85"/>
      <c r="B1726" s="217" t="str">
        <f>IF(A1726&lt;&gt;"",_xlfn.MAXIFS($B$1:B1725,$A$1:A1725,A1726)+1,"")</f>
        <v/>
      </c>
      <c r="C1726" s="50"/>
      <c r="D1726" s="50"/>
      <c r="E1726" s="50"/>
      <c r="F1726" s="50"/>
      <c r="G1726" s="280"/>
      <c r="H1726" s="293"/>
      <c r="I1726" s="292"/>
      <c r="J1726" s="292"/>
      <c r="K1726" s="200"/>
      <c r="L1726" s="200"/>
      <c r="M1726" s="89" t="str">
        <f>IFERROR(VLOOKUP(H1726,Lijsten!$H$1:$I$100,2,0),"")</f>
        <v/>
      </c>
      <c r="N1726" s="89" t="str" cm="1">
        <f t="array" ref="N1726">IFERROR(_xlfn.IFS(AND(LEFT(F1726,6)="Arbeid",RIGHT(F1726,3)&lt;&gt;"IKS"),IFERROR(VLOOKUP($G1726,Tb_KostenTypen[],2,0),"tarief"),RIGHT(F1726,3)="IKS","Uurtarief",LEFT(F1726,6)="Arbeid","Uurtarief",AND(LEFT(F1726,8)="Bijdrage",RIGHT(F1726,15)="(vrijwilligers)"),"Vast tarief"),"")</f>
        <v/>
      </c>
      <c r="O1726" s="90"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0"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1"/>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59"/>
      <c r="Z1726" s="49"/>
      <c r="AA1726" s="37" t="str" cm="1">
        <f t="array" ref="AA1726">IFERROR(IF(INDEX(SubsidieTabel!$Q$1:$T$9,MATCH($F1726,SubsidieTabel!$Q$1:$Q$9,0),IFERROR(MATCH(Methode_Keuze,SubsidieTabel!$Q$1:$T$1,0),2))&lt;&gt;1=TRUE,"ja",""),"")</f>
        <v/>
      </c>
    </row>
    <row r="1727" spans="1:27" ht="15" customHeight="1" x14ac:dyDescent="0.25">
      <c r="A1727" s="85"/>
      <c r="B1727" s="217" t="str">
        <f>IF(A1727&lt;&gt;"",_xlfn.MAXIFS($B$1:B1726,$A$1:A1726,A1727)+1,"")</f>
        <v/>
      </c>
      <c r="C1727" s="50"/>
      <c r="D1727" s="50"/>
      <c r="E1727" s="50"/>
      <c r="F1727" s="50"/>
      <c r="G1727" s="280"/>
      <c r="H1727" s="293"/>
      <c r="I1727" s="292"/>
      <c r="J1727" s="292"/>
      <c r="K1727" s="200"/>
      <c r="L1727" s="200"/>
      <c r="M1727" s="89" t="str">
        <f>IFERROR(VLOOKUP(H1727,Lijsten!$H$1:$I$100,2,0),"")</f>
        <v/>
      </c>
      <c r="N1727" s="89" t="str" cm="1">
        <f t="array" ref="N1727">IFERROR(_xlfn.IFS(AND(LEFT(F1727,6)="Arbeid",RIGHT(F1727,3)&lt;&gt;"IKS"),IFERROR(VLOOKUP($G1727,Tb_KostenTypen[],2,0),"tarief"),RIGHT(F1727,3)="IKS","Uurtarief",LEFT(F1727,6)="Arbeid","Uurtarief",AND(LEFT(F1727,8)="Bijdrage",RIGHT(F1727,15)="(vrijwilligers)"),"Vast tarief"),"")</f>
        <v/>
      </c>
      <c r="O1727" s="90"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0"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1"/>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59"/>
      <c r="Z1727" s="49"/>
      <c r="AA1727" s="37" t="str" cm="1">
        <f t="array" ref="AA1727">IFERROR(IF(INDEX(SubsidieTabel!$Q$1:$T$9,MATCH($F1727,SubsidieTabel!$Q$1:$Q$9,0),IFERROR(MATCH(Methode_Keuze,SubsidieTabel!$Q$1:$T$1,0),2))&lt;&gt;1=TRUE,"ja",""),"")</f>
        <v/>
      </c>
    </row>
    <row r="1728" spans="1:27" ht="15" customHeight="1" x14ac:dyDescent="0.25">
      <c r="A1728" s="85"/>
      <c r="B1728" s="217" t="str">
        <f>IF(A1728&lt;&gt;"",_xlfn.MAXIFS($B$1:B1727,$A$1:A1727,A1728)+1,"")</f>
        <v/>
      </c>
      <c r="C1728" s="50"/>
      <c r="D1728" s="50"/>
      <c r="E1728" s="50"/>
      <c r="F1728" s="50"/>
      <c r="G1728" s="280"/>
      <c r="H1728" s="293"/>
      <c r="I1728" s="292"/>
      <c r="J1728" s="292"/>
      <c r="K1728" s="200"/>
      <c r="L1728" s="200"/>
      <c r="M1728" s="89" t="str">
        <f>IFERROR(VLOOKUP(H1728,Lijsten!$H$1:$I$100,2,0),"")</f>
        <v/>
      </c>
      <c r="N1728" s="89" t="str" cm="1">
        <f t="array" ref="N1728">IFERROR(_xlfn.IFS(AND(LEFT(F1728,6)="Arbeid",RIGHT(F1728,3)&lt;&gt;"IKS"),IFERROR(VLOOKUP($G1728,Tb_KostenTypen[],2,0),"tarief"),RIGHT(F1728,3)="IKS","Uurtarief",LEFT(F1728,6)="Arbeid","Uurtarief",AND(LEFT(F1728,8)="Bijdrage",RIGHT(F1728,15)="(vrijwilligers)"),"Vast tarief"),"")</f>
        <v/>
      </c>
      <c r="O1728" s="90"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0"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1"/>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59"/>
      <c r="Z1728" s="49"/>
      <c r="AA1728" s="37" t="str" cm="1">
        <f t="array" ref="AA1728">IFERROR(IF(INDEX(SubsidieTabel!$Q$1:$T$9,MATCH($F1728,SubsidieTabel!$Q$1:$Q$9,0),IFERROR(MATCH(Methode_Keuze,SubsidieTabel!$Q$1:$T$1,0),2))&lt;&gt;1=TRUE,"ja",""),"")</f>
        <v/>
      </c>
    </row>
    <row r="1729" spans="1:27" ht="15" customHeight="1" x14ac:dyDescent="0.25">
      <c r="A1729" s="85"/>
      <c r="B1729" s="217" t="str">
        <f>IF(A1729&lt;&gt;"",_xlfn.MAXIFS($B$1:B1728,$A$1:A1728,A1729)+1,"")</f>
        <v/>
      </c>
      <c r="C1729" s="50"/>
      <c r="D1729" s="50"/>
      <c r="E1729" s="50"/>
      <c r="F1729" s="50"/>
      <c r="G1729" s="280"/>
      <c r="H1729" s="293"/>
      <c r="I1729" s="292"/>
      <c r="J1729" s="292"/>
      <c r="K1729" s="200"/>
      <c r="L1729" s="200"/>
      <c r="M1729" s="89" t="str">
        <f>IFERROR(VLOOKUP(H1729,Lijsten!$H$1:$I$100,2,0),"")</f>
        <v/>
      </c>
      <c r="N1729" s="89" t="str" cm="1">
        <f t="array" ref="N1729">IFERROR(_xlfn.IFS(AND(LEFT(F1729,6)="Arbeid",RIGHT(F1729,3)&lt;&gt;"IKS"),IFERROR(VLOOKUP($G1729,Tb_KostenTypen[],2,0),"tarief"),RIGHT(F1729,3)="IKS","Uurtarief",LEFT(F1729,6)="Arbeid","Uurtarief",AND(LEFT(F1729,8)="Bijdrage",RIGHT(F1729,15)="(vrijwilligers)"),"Vast tarief"),"")</f>
        <v/>
      </c>
      <c r="O1729" s="90"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0"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1"/>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59"/>
      <c r="Z1729" s="49"/>
      <c r="AA1729" s="37" t="str" cm="1">
        <f t="array" ref="AA1729">IFERROR(IF(INDEX(SubsidieTabel!$Q$1:$T$9,MATCH($F1729,SubsidieTabel!$Q$1:$Q$9,0),IFERROR(MATCH(Methode_Keuze,SubsidieTabel!$Q$1:$T$1,0),2))&lt;&gt;1=TRUE,"ja",""),"")</f>
        <v/>
      </c>
    </row>
    <row r="1730" spans="1:27" ht="15" customHeight="1" x14ac:dyDescent="0.25">
      <c r="A1730" s="85"/>
      <c r="B1730" s="217" t="str">
        <f>IF(A1730&lt;&gt;"",_xlfn.MAXIFS($B$1:B1729,$A$1:A1729,A1730)+1,"")</f>
        <v/>
      </c>
      <c r="C1730" s="50"/>
      <c r="D1730" s="50"/>
      <c r="E1730" s="50"/>
      <c r="F1730" s="50"/>
      <c r="G1730" s="280"/>
      <c r="H1730" s="293"/>
      <c r="I1730" s="292"/>
      <c r="J1730" s="292"/>
      <c r="K1730" s="200"/>
      <c r="L1730" s="200"/>
      <c r="M1730" s="89" t="str">
        <f>IFERROR(VLOOKUP(H1730,Lijsten!$H$1:$I$100,2,0),"")</f>
        <v/>
      </c>
      <c r="N1730" s="89" t="str" cm="1">
        <f t="array" ref="N1730">IFERROR(_xlfn.IFS(AND(LEFT(F1730,6)="Arbeid",RIGHT(F1730,3)&lt;&gt;"IKS"),IFERROR(VLOOKUP($G1730,Tb_KostenTypen[],2,0),"tarief"),RIGHT(F1730,3)="IKS","Uurtarief",LEFT(F1730,6)="Arbeid","Uurtarief",AND(LEFT(F1730,8)="Bijdrage",RIGHT(F1730,15)="(vrijwilligers)"),"Vast tarief"),"")</f>
        <v/>
      </c>
      <c r="O1730" s="90"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0"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1"/>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59"/>
      <c r="Z1730" s="49"/>
      <c r="AA1730" s="37" t="str" cm="1">
        <f t="array" ref="AA1730">IFERROR(IF(INDEX(SubsidieTabel!$Q$1:$T$9,MATCH($F1730,SubsidieTabel!$Q$1:$Q$9,0),IFERROR(MATCH(Methode_Keuze,SubsidieTabel!$Q$1:$T$1,0),2))&lt;&gt;1=TRUE,"ja",""),"")</f>
        <v/>
      </c>
    </row>
    <row r="1731" spans="1:27" ht="15" customHeight="1" x14ac:dyDescent="0.25">
      <c r="A1731" s="85"/>
      <c r="B1731" s="217" t="str">
        <f>IF(A1731&lt;&gt;"",_xlfn.MAXIFS($B$1:B1730,$A$1:A1730,A1731)+1,"")</f>
        <v/>
      </c>
      <c r="C1731" s="50"/>
      <c r="D1731" s="50"/>
      <c r="E1731" s="50"/>
      <c r="F1731" s="50"/>
      <c r="G1731" s="280"/>
      <c r="H1731" s="293"/>
      <c r="I1731" s="292"/>
      <c r="J1731" s="292"/>
      <c r="K1731" s="200"/>
      <c r="L1731" s="200"/>
      <c r="M1731" s="89" t="str">
        <f>IFERROR(VLOOKUP(H1731,Lijsten!$H$1:$I$100,2,0),"")</f>
        <v/>
      </c>
      <c r="N1731" s="89" t="str" cm="1">
        <f t="array" ref="N1731">IFERROR(_xlfn.IFS(AND(LEFT(F1731,6)="Arbeid",RIGHT(F1731,3)&lt;&gt;"IKS"),IFERROR(VLOOKUP($G1731,Tb_KostenTypen[],2,0),"tarief"),RIGHT(F1731,3)="IKS","Uurtarief",LEFT(F1731,6)="Arbeid","Uurtarief",AND(LEFT(F1731,8)="Bijdrage",RIGHT(F1731,15)="(vrijwilligers)"),"Vast tarief"),"")</f>
        <v/>
      </c>
      <c r="O1731" s="90"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0"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1"/>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59"/>
      <c r="Z1731" s="49"/>
      <c r="AA1731" s="37" t="str" cm="1">
        <f t="array" ref="AA1731">IFERROR(IF(INDEX(SubsidieTabel!$Q$1:$T$9,MATCH($F1731,SubsidieTabel!$Q$1:$Q$9,0),IFERROR(MATCH(Methode_Keuze,SubsidieTabel!$Q$1:$T$1,0),2))&lt;&gt;1=TRUE,"ja",""),"")</f>
        <v/>
      </c>
    </row>
    <row r="1732" spans="1:27" ht="15" customHeight="1" x14ac:dyDescent="0.25">
      <c r="A1732" s="85"/>
      <c r="B1732" s="217" t="str">
        <f>IF(A1732&lt;&gt;"",_xlfn.MAXIFS($B$1:B1731,$A$1:A1731,A1732)+1,"")</f>
        <v/>
      </c>
      <c r="C1732" s="50"/>
      <c r="D1732" s="50"/>
      <c r="E1732" s="50"/>
      <c r="F1732" s="50"/>
      <c r="G1732" s="280"/>
      <c r="H1732" s="293"/>
      <c r="I1732" s="292"/>
      <c r="J1732" s="292"/>
      <c r="K1732" s="200"/>
      <c r="L1732" s="200"/>
      <c r="M1732" s="89" t="str">
        <f>IFERROR(VLOOKUP(H1732,Lijsten!$H$1:$I$100,2,0),"")</f>
        <v/>
      </c>
      <c r="N1732" s="89" t="str" cm="1">
        <f t="array" ref="N1732">IFERROR(_xlfn.IFS(AND(LEFT(F1732,6)="Arbeid",RIGHT(F1732,3)&lt;&gt;"IKS"),IFERROR(VLOOKUP($G1732,Tb_KostenTypen[],2,0),"tarief"),RIGHT(F1732,3)="IKS","Uurtarief",LEFT(F1732,6)="Arbeid","Uurtarief",AND(LEFT(F1732,8)="Bijdrage",RIGHT(F1732,15)="(vrijwilligers)"),"Vast tarief"),"")</f>
        <v/>
      </c>
      <c r="O1732" s="90"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0"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1"/>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59"/>
      <c r="Z1732" s="49"/>
      <c r="AA1732" s="37" t="str" cm="1">
        <f t="array" ref="AA1732">IFERROR(IF(INDEX(SubsidieTabel!$Q$1:$T$9,MATCH($F1732,SubsidieTabel!$Q$1:$Q$9,0),IFERROR(MATCH(Methode_Keuze,SubsidieTabel!$Q$1:$T$1,0),2))&lt;&gt;1=TRUE,"ja",""),"")</f>
        <v/>
      </c>
    </row>
    <row r="1733" spans="1:27" ht="15" customHeight="1" x14ac:dyDescent="0.25">
      <c r="A1733" s="85"/>
      <c r="B1733" s="217" t="str">
        <f>IF(A1733&lt;&gt;"",_xlfn.MAXIFS($B$1:B1732,$A$1:A1732,A1733)+1,"")</f>
        <v/>
      </c>
      <c r="C1733" s="50"/>
      <c r="D1733" s="50"/>
      <c r="E1733" s="50"/>
      <c r="F1733" s="50"/>
      <c r="G1733" s="280"/>
      <c r="H1733" s="293"/>
      <c r="I1733" s="292"/>
      <c r="J1733" s="292"/>
      <c r="K1733" s="200"/>
      <c r="L1733" s="200"/>
      <c r="M1733" s="89" t="str">
        <f>IFERROR(VLOOKUP(H1733,Lijsten!$H$1:$I$100,2,0),"")</f>
        <v/>
      </c>
      <c r="N1733" s="89" t="str" cm="1">
        <f t="array" ref="N1733">IFERROR(_xlfn.IFS(AND(LEFT(F1733,6)="Arbeid",RIGHT(F1733,3)&lt;&gt;"IKS"),IFERROR(VLOOKUP($G1733,Tb_KostenTypen[],2,0),"tarief"),RIGHT(F1733,3)="IKS","Uurtarief",LEFT(F1733,6)="Arbeid","Uurtarief",AND(LEFT(F1733,8)="Bijdrage",RIGHT(F1733,15)="(vrijwilligers)"),"Vast tarief"),"")</f>
        <v/>
      </c>
      <c r="O1733" s="90"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0"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1"/>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59"/>
      <c r="Z1733" s="49"/>
      <c r="AA1733" s="37" t="str" cm="1">
        <f t="array" ref="AA1733">IFERROR(IF(INDEX(SubsidieTabel!$Q$1:$T$9,MATCH($F1733,SubsidieTabel!$Q$1:$Q$9,0),IFERROR(MATCH(Methode_Keuze,SubsidieTabel!$Q$1:$T$1,0),2))&lt;&gt;1=TRUE,"ja",""),"")</f>
        <v/>
      </c>
    </row>
    <row r="1734" spans="1:27" ht="15" customHeight="1" x14ac:dyDescent="0.25">
      <c r="A1734" s="85"/>
      <c r="B1734" s="217" t="str">
        <f>IF(A1734&lt;&gt;"",_xlfn.MAXIFS($B$1:B1733,$A$1:A1733,A1734)+1,"")</f>
        <v/>
      </c>
      <c r="C1734" s="50"/>
      <c r="D1734" s="50"/>
      <c r="E1734" s="50"/>
      <c r="F1734" s="50"/>
      <c r="G1734" s="280"/>
      <c r="H1734" s="293"/>
      <c r="I1734" s="292"/>
      <c r="J1734" s="292"/>
      <c r="K1734" s="200"/>
      <c r="L1734" s="200"/>
      <c r="M1734" s="89" t="str">
        <f>IFERROR(VLOOKUP(H1734,Lijsten!$H$1:$I$100,2,0),"")</f>
        <v/>
      </c>
      <c r="N1734" s="89" t="str" cm="1">
        <f t="array" ref="N1734">IFERROR(_xlfn.IFS(AND(LEFT(F1734,6)="Arbeid",RIGHT(F1734,3)&lt;&gt;"IKS"),IFERROR(VLOOKUP($G1734,Tb_KostenTypen[],2,0),"tarief"),RIGHT(F1734,3)="IKS","Uurtarief",LEFT(F1734,6)="Arbeid","Uurtarief",AND(LEFT(F1734,8)="Bijdrage",RIGHT(F1734,15)="(vrijwilligers)"),"Vast tarief"),"")</f>
        <v/>
      </c>
      <c r="O1734" s="90"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0"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1"/>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59"/>
      <c r="Z1734" s="49"/>
      <c r="AA1734" s="37" t="str" cm="1">
        <f t="array" ref="AA1734">IFERROR(IF(INDEX(SubsidieTabel!$Q$1:$T$9,MATCH($F1734,SubsidieTabel!$Q$1:$Q$9,0),IFERROR(MATCH(Methode_Keuze,SubsidieTabel!$Q$1:$T$1,0),2))&lt;&gt;1=TRUE,"ja",""),"")</f>
        <v/>
      </c>
    </row>
    <row r="1735" spans="1:27" ht="15" customHeight="1" x14ac:dyDescent="0.25">
      <c r="A1735" s="85"/>
      <c r="B1735" s="217" t="str">
        <f>IF(A1735&lt;&gt;"",_xlfn.MAXIFS($B$1:B1734,$A$1:A1734,A1735)+1,"")</f>
        <v/>
      </c>
      <c r="C1735" s="50"/>
      <c r="D1735" s="50"/>
      <c r="E1735" s="50"/>
      <c r="F1735" s="50"/>
      <c r="G1735" s="280"/>
      <c r="H1735" s="293"/>
      <c r="I1735" s="292"/>
      <c r="J1735" s="292"/>
      <c r="K1735" s="200"/>
      <c r="L1735" s="200"/>
      <c r="M1735" s="89" t="str">
        <f>IFERROR(VLOOKUP(H1735,Lijsten!$H$1:$I$100,2,0),"")</f>
        <v/>
      </c>
      <c r="N1735" s="89" t="str" cm="1">
        <f t="array" ref="N1735">IFERROR(_xlfn.IFS(AND(LEFT(F1735,6)="Arbeid",RIGHT(F1735,3)&lt;&gt;"IKS"),IFERROR(VLOOKUP($G1735,Tb_KostenTypen[],2,0),"tarief"),RIGHT(F1735,3)="IKS","Uurtarief",LEFT(F1735,6)="Arbeid","Uurtarief",AND(LEFT(F1735,8)="Bijdrage",RIGHT(F1735,15)="(vrijwilligers)"),"Vast tarief"),"")</f>
        <v/>
      </c>
      <c r="O1735" s="90"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0"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1"/>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59"/>
      <c r="Z1735" s="49"/>
      <c r="AA1735" s="37" t="str" cm="1">
        <f t="array" ref="AA1735">IFERROR(IF(INDEX(SubsidieTabel!$Q$1:$T$9,MATCH($F1735,SubsidieTabel!$Q$1:$Q$9,0),IFERROR(MATCH(Methode_Keuze,SubsidieTabel!$Q$1:$T$1,0),2))&lt;&gt;1=TRUE,"ja",""),"")</f>
        <v/>
      </c>
    </row>
    <row r="1736" spans="1:27" ht="15" customHeight="1" x14ac:dyDescent="0.25">
      <c r="A1736" s="85"/>
      <c r="B1736" s="217" t="str">
        <f>IF(A1736&lt;&gt;"",_xlfn.MAXIFS($B$1:B1735,$A$1:A1735,A1736)+1,"")</f>
        <v/>
      </c>
      <c r="C1736" s="50"/>
      <c r="D1736" s="50"/>
      <c r="E1736" s="50"/>
      <c r="F1736" s="50"/>
      <c r="G1736" s="280"/>
      <c r="H1736" s="293"/>
      <c r="I1736" s="292"/>
      <c r="J1736" s="292"/>
      <c r="K1736" s="200"/>
      <c r="L1736" s="200"/>
      <c r="M1736" s="89" t="str">
        <f>IFERROR(VLOOKUP(H1736,Lijsten!$H$1:$I$100,2,0),"")</f>
        <v/>
      </c>
      <c r="N1736" s="89" t="str" cm="1">
        <f t="array" ref="N1736">IFERROR(_xlfn.IFS(AND(LEFT(F1736,6)="Arbeid",RIGHT(F1736,3)&lt;&gt;"IKS"),IFERROR(VLOOKUP($G1736,Tb_KostenTypen[],2,0),"tarief"),RIGHT(F1736,3)="IKS","Uurtarief",LEFT(F1736,6)="Arbeid","Uurtarief",AND(LEFT(F1736,8)="Bijdrage",RIGHT(F1736,15)="(vrijwilligers)"),"Vast tarief"),"")</f>
        <v/>
      </c>
      <c r="O1736" s="90"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0"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1"/>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59"/>
      <c r="Z1736" s="49"/>
      <c r="AA1736" s="37" t="str" cm="1">
        <f t="array" ref="AA1736">IFERROR(IF(INDEX(SubsidieTabel!$Q$1:$T$9,MATCH($F1736,SubsidieTabel!$Q$1:$Q$9,0),IFERROR(MATCH(Methode_Keuze,SubsidieTabel!$Q$1:$T$1,0),2))&lt;&gt;1=TRUE,"ja",""),"")</f>
        <v/>
      </c>
    </row>
    <row r="1737" spans="1:27" ht="15" customHeight="1" x14ac:dyDescent="0.25">
      <c r="A1737" s="85"/>
      <c r="B1737" s="217" t="str">
        <f>IF(A1737&lt;&gt;"",_xlfn.MAXIFS($B$1:B1736,$A$1:A1736,A1737)+1,"")</f>
        <v/>
      </c>
      <c r="C1737" s="50"/>
      <c r="D1737" s="50"/>
      <c r="E1737" s="50"/>
      <c r="F1737" s="50"/>
      <c r="G1737" s="280"/>
      <c r="H1737" s="293"/>
      <c r="I1737" s="292"/>
      <c r="J1737" s="292"/>
      <c r="K1737" s="200"/>
      <c r="L1737" s="200"/>
      <c r="M1737" s="89" t="str">
        <f>IFERROR(VLOOKUP(H1737,Lijsten!$H$1:$I$100,2,0),"")</f>
        <v/>
      </c>
      <c r="N1737" s="89" t="str" cm="1">
        <f t="array" ref="N1737">IFERROR(_xlfn.IFS(AND(LEFT(F1737,6)="Arbeid",RIGHT(F1737,3)&lt;&gt;"IKS"),IFERROR(VLOOKUP($G1737,Tb_KostenTypen[],2,0),"tarief"),RIGHT(F1737,3)="IKS","Uurtarief",LEFT(F1737,6)="Arbeid","Uurtarief",AND(LEFT(F1737,8)="Bijdrage",RIGHT(F1737,15)="(vrijwilligers)"),"Vast tarief"),"")</f>
        <v/>
      </c>
      <c r="O1737" s="90"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0"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1"/>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59"/>
      <c r="Z1737" s="49"/>
      <c r="AA1737" s="37" t="str" cm="1">
        <f t="array" ref="AA1737">IFERROR(IF(INDEX(SubsidieTabel!$Q$1:$T$9,MATCH($F1737,SubsidieTabel!$Q$1:$Q$9,0),IFERROR(MATCH(Methode_Keuze,SubsidieTabel!$Q$1:$T$1,0),2))&lt;&gt;1=TRUE,"ja",""),"")</f>
        <v/>
      </c>
    </row>
    <row r="1738" spans="1:27" ht="15" customHeight="1" x14ac:dyDescent="0.25">
      <c r="A1738" s="85"/>
      <c r="B1738" s="217" t="str">
        <f>IF(A1738&lt;&gt;"",_xlfn.MAXIFS($B$1:B1737,$A$1:A1737,A1738)+1,"")</f>
        <v/>
      </c>
      <c r="C1738" s="50"/>
      <c r="D1738" s="50"/>
      <c r="E1738" s="50"/>
      <c r="F1738" s="50"/>
      <c r="G1738" s="280"/>
      <c r="H1738" s="293"/>
      <c r="I1738" s="292"/>
      <c r="J1738" s="292"/>
      <c r="K1738" s="200"/>
      <c r="L1738" s="200"/>
      <c r="M1738" s="89" t="str">
        <f>IFERROR(VLOOKUP(H1738,Lijsten!$H$1:$I$100,2,0),"")</f>
        <v/>
      </c>
      <c r="N1738" s="89" t="str" cm="1">
        <f t="array" ref="N1738">IFERROR(_xlfn.IFS(AND(LEFT(F1738,6)="Arbeid",RIGHT(F1738,3)&lt;&gt;"IKS"),IFERROR(VLOOKUP($G1738,Tb_KostenTypen[],2,0),"tarief"),RIGHT(F1738,3)="IKS","Uurtarief",LEFT(F1738,6)="Arbeid","Uurtarief",AND(LEFT(F1738,8)="Bijdrage",RIGHT(F1738,15)="(vrijwilligers)"),"Vast tarief"),"")</f>
        <v/>
      </c>
      <c r="O1738" s="90"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0"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1"/>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59"/>
      <c r="Z1738" s="49"/>
      <c r="AA1738" s="37" t="str" cm="1">
        <f t="array" ref="AA1738">IFERROR(IF(INDEX(SubsidieTabel!$Q$1:$T$9,MATCH($F1738,SubsidieTabel!$Q$1:$Q$9,0),IFERROR(MATCH(Methode_Keuze,SubsidieTabel!$Q$1:$T$1,0),2))&lt;&gt;1=TRUE,"ja",""),"")</f>
        <v/>
      </c>
    </row>
    <row r="1739" spans="1:27" ht="15" customHeight="1" x14ac:dyDescent="0.25">
      <c r="A1739" s="85"/>
      <c r="B1739" s="217" t="str">
        <f>IF(A1739&lt;&gt;"",_xlfn.MAXIFS($B$1:B1738,$A$1:A1738,A1739)+1,"")</f>
        <v/>
      </c>
      <c r="C1739" s="50"/>
      <c r="D1739" s="50"/>
      <c r="E1739" s="50"/>
      <c r="F1739" s="50"/>
      <c r="G1739" s="280"/>
      <c r="H1739" s="293"/>
      <c r="I1739" s="292"/>
      <c r="J1739" s="292"/>
      <c r="K1739" s="200"/>
      <c r="L1739" s="200"/>
      <c r="M1739" s="89" t="str">
        <f>IFERROR(VLOOKUP(H1739,Lijsten!$H$1:$I$100,2,0),"")</f>
        <v/>
      </c>
      <c r="N1739" s="89" t="str" cm="1">
        <f t="array" ref="N1739">IFERROR(_xlfn.IFS(AND(LEFT(F1739,6)="Arbeid",RIGHT(F1739,3)&lt;&gt;"IKS"),IFERROR(VLOOKUP($G1739,Tb_KostenTypen[],2,0),"tarief"),RIGHT(F1739,3)="IKS","Uurtarief",LEFT(F1739,6)="Arbeid","Uurtarief",AND(LEFT(F1739,8)="Bijdrage",RIGHT(F1739,15)="(vrijwilligers)"),"Vast tarief"),"")</f>
        <v/>
      </c>
      <c r="O1739" s="90"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0"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1"/>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59"/>
      <c r="Z1739" s="49"/>
      <c r="AA1739" s="37" t="str" cm="1">
        <f t="array" ref="AA1739">IFERROR(IF(INDEX(SubsidieTabel!$Q$1:$T$9,MATCH($F1739,SubsidieTabel!$Q$1:$Q$9,0),IFERROR(MATCH(Methode_Keuze,SubsidieTabel!$Q$1:$T$1,0),2))&lt;&gt;1=TRUE,"ja",""),"")</f>
        <v/>
      </c>
    </row>
    <row r="1740" spans="1:27" ht="15" customHeight="1" x14ac:dyDescent="0.25">
      <c r="A1740" s="85"/>
      <c r="B1740" s="217" t="str">
        <f>IF(A1740&lt;&gt;"",_xlfn.MAXIFS($B$1:B1739,$A$1:A1739,A1740)+1,"")</f>
        <v/>
      </c>
      <c r="C1740" s="50"/>
      <c r="D1740" s="50"/>
      <c r="E1740" s="50"/>
      <c r="F1740" s="50"/>
      <c r="G1740" s="280"/>
      <c r="H1740" s="293"/>
      <c r="I1740" s="292"/>
      <c r="J1740" s="292"/>
      <c r="K1740" s="200"/>
      <c r="L1740" s="200"/>
      <c r="M1740" s="89" t="str">
        <f>IFERROR(VLOOKUP(H1740,Lijsten!$H$1:$I$100,2,0),"")</f>
        <v/>
      </c>
      <c r="N1740" s="89" t="str" cm="1">
        <f t="array" ref="N1740">IFERROR(_xlfn.IFS(AND(LEFT(F1740,6)="Arbeid",RIGHT(F1740,3)&lt;&gt;"IKS"),IFERROR(VLOOKUP($G1740,Tb_KostenTypen[],2,0),"tarief"),RIGHT(F1740,3)="IKS","Uurtarief",LEFT(F1740,6)="Arbeid","Uurtarief",AND(LEFT(F1740,8)="Bijdrage",RIGHT(F1740,15)="(vrijwilligers)"),"Vast tarief"),"")</f>
        <v/>
      </c>
      <c r="O1740" s="90"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0"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1"/>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59"/>
      <c r="Z1740" s="49"/>
      <c r="AA1740" s="37" t="str" cm="1">
        <f t="array" ref="AA1740">IFERROR(IF(INDEX(SubsidieTabel!$Q$1:$T$9,MATCH($F1740,SubsidieTabel!$Q$1:$Q$9,0),IFERROR(MATCH(Methode_Keuze,SubsidieTabel!$Q$1:$T$1,0),2))&lt;&gt;1=TRUE,"ja",""),"")</f>
        <v/>
      </c>
    </row>
    <row r="1741" spans="1:27" ht="15" customHeight="1" x14ac:dyDescent="0.25">
      <c r="A1741" s="85"/>
      <c r="B1741" s="217" t="str">
        <f>IF(A1741&lt;&gt;"",_xlfn.MAXIFS($B$1:B1740,$A$1:A1740,A1741)+1,"")</f>
        <v/>
      </c>
      <c r="C1741" s="50"/>
      <c r="D1741" s="50"/>
      <c r="E1741" s="50"/>
      <c r="F1741" s="50"/>
      <c r="G1741" s="280"/>
      <c r="H1741" s="293"/>
      <c r="I1741" s="292"/>
      <c r="J1741" s="292"/>
      <c r="K1741" s="200"/>
      <c r="L1741" s="200"/>
      <c r="M1741" s="89" t="str">
        <f>IFERROR(VLOOKUP(H1741,Lijsten!$H$1:$I$100,2,0),"")</f>
        <v/>
      </c>
      <c r="N1741" s="89" t="str" cm="1">
        <f t="array" ref="N1741">IFERROR(_xlfn.IFS(AND(LEFT(F1741,6)="Arbeid",RIGHT(F1741,3)&lt;&gt;"IKS"),IFERROR(VLOOKUP($G1741,Tb_KostenTypen[],2,0),"tarief"),RIGHT(F1741,3)="IKS","Uurtarief",LEFT(F1741,6)="Arbeid","Uurtarief",AND(LEFT(F1741,8)="Bijdrage",RIGHT(F1741,15)="(vrijwilligers)"),"Vast tarief"),"")</f>
        <v/>
      </c>
      <c r="O1741" s="90"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0"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1"/>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59"/>
      <c r="Z1741" s="49"/>
      <c r="AA1741" s="37" t="str" cm="1">
        <f t="array" ref="AA1741">IFERROR(IF(INDEX(SubsidieTabel!$Q$1:$T$9,MATCH($F1741,SubsidieTabel!$Q$1:$Q$9,0),IFERROR(MATCH(Methode_Keuze,SubsidieTabel!$Q$1:$T$1,0),2))&lt;&gt;1=TRUE,"ja",""),"")</f>
        <v/>
      </c>
    </row>
    <row r="1742" spans="1:27" ht="15" customHeight="1" x14ac:dyDescent="0.25">
      <c r="A1742" s="85"/>
      <c r="B1742" s="217" t="str">
        <f>IF(A1742&lt;&gt;"",_xlfn.MAXIFS($B$1:B1741,$A$1:A1741,A1742)+1,"")</f>
        <v/>
      </c>
      <c r="C1742" s="50"/>
      <c r="D1742" s="50"/>
      <c r="E1742" s="50"/>
      <c r="F1742" s="50"/>
      <c r="G1742" s="280"/>
      <c r="H1742" s="293"/>
      <c r="I1742" s="292"/>
      <c r="J1742" s="292"/>
      <c r="K1742" s="200"/>
      <c r="L1742" s="200"/>
      <c r="M1742" s="89" t="str">
        <f>IFERROR(VLOOKUP(H1742,Lijsten!$H$1:$I$100,2,0),"")</f>
        <v/>
      </c>
      <c r="N1742" s="89" t="str" cm="1">
        <f t="array" ref="N1742">IFERROR(_xlfn.IFS(AND(LEFT(F1742,6)="Arbeid",RIGHT(F1742,3)&lt;&gt;"IKS"),IFERROR(VLOOKUP($G1742,Tb_KostenTypen[],2,0),"tarief"),RIGHT(F1742,3)="IKS","Uurtarief",LEFT(F1742,6)="Arbeid","Uurtarief",AND(LEFT(F1742,8)="Bijdrage",RIGHT(F1742,15)="(vrijwilligers)"),"Vast tarief"),"")</f>
        <v/>
      </c>
      <c r="O1742" s="90"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0"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1"/>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59"/>
      <c r="Z1742" s="49"/>
      <c r="AA1742" s="37" t="str" cm="1">
        <f t="array" ref="AA1742">IFERROR(IF(INDEX(SubsidieTabel!$Q$1:$T$9,MATCH($F1742,SubsidieTabel!$Q$1:$Q$9,0),IFERROR(MATCH(Methode_Keuze,SubsidieTabel!$Q$1:$T$1,0),2))&lt;&gt;1=TRUE,"ja",""),"")</f>
        <v/>
      </c>
    </row>
    <row r="1743" spans="1:27" ht="15" customHeight="1" x14ac:dyDescent="0.25">
      <c r="A1743" s="85"/>
      <c r="B1743" s="217" t="str">
        <f>IF(A1743&lt;&gt;"",_xlfn.MAXIFS($B$1:B1742,$A$1:A1742,A1743)+1,"")</f>
        <v/>
      </c>
      <c r="C1743" s="50"/>
      <c r="D1743" s="50"/>
      <c r="E1743" s="50"/>
      <c r="F1743" s="50"/>
      <c r="G1743" s="280"/>
      <c r="H1743" s="293"/>
      <c r="I1743" s="292"/>
      <c r="J1743" s="292"/>
      <c r="K1743" s="200"/>
      <c r="L1743" s="200"/>
      <c r="M1743" s="89" t="str">
        <f>IFERROR(VLOOKUP(H1743,Lijsten!$H$1:$I$100,2,0),"")</f>
        <v/>
      </c>
      <c r="N1743" s="89" t="str" cm="1">
        <f t="array" ref="N1743">IFERROR(_xlfn.IFS(AND(LEFT(F1743,6)="Arbeid",RIGHT(F1743,3)&lt;&gt;"IKS"),IFERROR(VLOOKUP($G1743,Tb_KostenTypen[],2,0),"tarief"),RIGHT(F1743,3)="IKS","Uurtarief",LEFT(F1743,6)="Arbeid","Uurtarief",AND(LEFT(F1743,8)="Bijdrage",RIGHT(F1743,15)="(vrijwilligers)"),"Vast tarief"),"")</f>
        <v/>
      </c>
      <c r="O1743" s="90"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0"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1"/>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59"/>
      <c r="Z1743" s="49"/>
      <c r="AA1743" s="37" t="str" cm="1">
        <f t="array" ref="AA1743">IFERROR(IF(INDEX(SubsidieTabel!$Q$1:$T$9,MATCH($F1743,SubsidieTabel!$Q$1:$Q$9,0),IFERROR(MATCH(Methode_Keuze,SubsidieTabel!$Q$1:$T$1,0),2))&lt;&gt;1=TRUE,"ja",""),"")</f>
        <v/>
      </c>
    </row>
    <row r="1744" spans="1:27" ht="15" customHeight="1" x14ac:dyDescent="0.25">
      <c r="A1744" s="85"/>
      <c r="B1744" s="217" t="str">
        <f>IF(A1744&lt;&gt;"",_xlfn.MAXIFS($B$1:B1743,$A$1:A1743,A1744)+1,"")</f>
        <v/>
      </c>
      <c r="C1744" s="50"/>
      <c r="D1744" s="50"/>
      <c r="E1744" s="50"/>
      <c r="F1744" s="50"/>
      <c r="G1744" s="280"/>
      <c r="H1744" s="293"/>
      <c r="I1744" s="292"/>
      <c r="J1744" s="292"/>
      <c r="K1744" s="200"/>
      <c r="L1744" s="200"/>
      <c r="M1744" s="89" t="str">
        <f>IFERROR(VLOOKUP(H1744,Lijsten!$H$1:$I$100,2,0),"")</f>
        <v/>
      </c>
      <c r="N1744" s="89" t="str" cm="1">
        <f t="array" ref="N1744">IFERROR(_xlfn.IFS(AND(LEFT(F1744,6)="Arbeid",RIGHT(F1744,3)&lt;&gt;"IKS"),IFERROR(VLOOKUP($G1744,Tb_KostenTypen[],2,0),"tarief"),RIGHT(F1744,3)="IKS","Uurtarief",LEFT(F1744,6)="Arbeid","Uurtarief",AND(LEFT(F1744,8)="Bijdrage",RIGHT(F1744,15)="(vrijwilligers)"),"Vast tarief"),"")</f>
        <v/>
      </c>
      <c r="O1744" s="90"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0"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1"/>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59"/>
      <c r="Z1744" s="49"/>
      <c r="AA1744" s="37" t="str" cm="1">
        <f t="array" ref="AA1744">IFERROR(IF(INDEX(SubsidieTabel!$Q$1:$T$9,MATCH($F1744,SubsidieTabel!$Q$1:$Q$9,0),IFERROR(MATCH(Methode_Keuze,SubsidieTabel!$Q$1:$T$1,0),2))&lt;&gt;1=TRUE,"ja",""),"")</f>
        <v/>
      </c>
    </row>
    <row r="1745" spans="1:27" ht="15" customHeight="1" x14ac:dyDescent="0.25">
      <c r="A1745" s="85"/>
      <c r="B1745" s="217" t="str">
        <f>IF(A1745&lt;&gt;"",_xlfn.MAXIFS($B$1:B1744,$A$1:A1744,A1745)+1,"")</f>
        <v/>
      </c>
      <c r="C1745" s="50"/>
      <c r="D1745" s="50"/>
      <c r="E1745" s="50"/>
      <c r="F1745" s="50"/>
      <c r="G1745" s="280"/>
      <c r="H1745" s="293"/>
      <c r="I1745" s="292"/>
      <c r="J1745" s="292"/>
      <c r="K1745" s="200"/>
      <c r="L1745" s="200"/>
      <c r="M1745" s="89" t="str">
        <f>IFERROR(VLOOKUP(H1745,Lijsten!$H$1:$I$100,2,0),"")</f>
        <v/>
      </c>
      <c r="N1745" s="89" t="str" cm="1">
        <f t="array" ref="N1745">IFERROR(_xlfn.IFS(AND(LEFT(F1745,6)="Arbeid",RIGHT(F1745,3)&lt;&gt;"IKS"),IFERROR(VLOOKUP($G1745,Tb_KostenTypen[],2,0),"tarief"),RIGHT(F1745,3)="IKS","Uurtarief",LEFT(F1745,6)="Arbeid","Uurtarief",AND(LEFT(F1745,8)="Bijdrage",RIGHT(F1745,15)="(vrijwilligers)"),"Vast tarief"),"")</f>
        <v/>
      </c>
      <c r="O1745" s="90"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0"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1"/>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59"/>
      <c r="Z1745" s="49"/>
      <c r="AA1745" s="37" t="str" cm="1">
        <f t="array" ref="AA1745">IFERROR(IF(INDEX(SubsidieTabel!$Q$1:$T$9,MATCH($F1745,SubsidieTabel!$Q$1:$Q$9,0),IFERROR(MATCH(Methode_Keuze,SubsidieTabel!$Q$1:$T$1,0),2))&lt;&gt;1=TRUE,"ja",""),"")</f>
        <v/>
      </c>
    </row>
    <row r="1746" spans="1:27" ht="15" customHeight="1" x14ac:dyDescent="0.25">
      <c r="A1746" s="85"/>
      <c r="B1746" s="217" t="str">
        <f>IF(A1746&lt;&gt;"",_xlfn.MAXIFS($B$1:B1745,$A$1:A1745,A1746)+1,"")</f>
        <v/>
      </c>
      <c r="C1746" s="50"/>
      <c r="D1746" s="50"/>
      <c r="E1746" s="50"/>
      <c r="F1746" s="50"/>
      <c r="G1746" s="280"/>
      <c r="H1746" s="293"/>
      <c r="I1746" s="292"/>
      <c r="J1746" s="292"/>
      <c r="K1746" s="200"/>
      <c r="L1746" s="200"/>
      <c r="M1746" s="89" t="str">
        <f>IFERROR(VLOOKUP(H1746,Lijsten!$H$1:$I$100,2,0),"")</f>
        <v/>
      </c>
      <c r="N1746" s="89" t="str" cm="1">
        <f t="array" ref="N1746">IFERROR(_xlfn.IFS(AND(LEFT(F1746,6)="Arbeid",RIGHT(F1746,3)&lt;&gt;"IKS"),IFERROR(VLOOKUP($G1746,Tb_KostenTypen[],2,0),"tarief"),RIGHT(F1746,3)="IKS","Uurtarief",LEFT(F1746,6)="Arbeid","Uurtarief",AND(LEFT(F1746,8)="Bijdrage",RIGHT(F1746,15)="(vrijwilligers)"),"Vast tarief"),"")</f>
        <v/>
      </c>
      <c r="O1746" s="90"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0"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1"/>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59"/>
      <c r="Z1746" s="49"/>
      <c r="AA1746" s="37" t="str" cm="1">
        <f t="array" ref="AA1746">IFERROR(IF(INDEX(SubsidieTabel!$Q$1:$T$9,MATCH($F1746,SubsidieTabel!$Q$1:$Q$9,0),IFERROR(MATCH(Methode_Keuze,SubsidieTabel!$Q$1:$T$1,0),2))&lt;&gt;1=TRUE,"ja",""),"")</f>
        <v/>
      </c>
    </row>
    <row r="1747" spans="1:27" ht="15" customHeight="1" x14ac:dyDescent="0.25">
      <c r="A1747" s="85"/>
      <c r="B1747" s="217" t="str">
        <f>IF(A1747&lt;&gt;"",_xlfn.MAXIFS($B$1:B1746,$A$1:A1746,A1747)+1,"")</f>
        <v/>
      </c>
      <c r="C1747" s="50"/>
      <c r="D1747" s="50"/>
      <c r="E1747" s="50"/>
      <c r="F1747" s="50"/>
      <c r="G1747" s="280"/>
      <c r="H1747" s="293"/>
      <c r="I1747" s="292"/>
      <c r="J1747" s="292"/>
      <c r="K1747" s="200"/>
      <c r="L1747" s="200"/>
      <c r="M1747" s="89" t="str">
        <f>IFERROR(VLOOKUP(H1747,Lijsten!$H$1:$I$100,2,0),"")</f>
        <v/>
      </c>
      <c r="N1747" s="89" t="str" cm="1">
        <f t="array" ref="N1747">IFERROR(_xlfn.IFS(AND(LEFT(F1747,6)="Arbeid",RIGHT(F1747,3)&lt;&gt;"IKS"),IFERROR(VLOOKUP($G1747,Tb_KostenTypen[],2,0),"tarief"),RIGHT(F1747,3)="IKS","Uurtarief",LEFT(F1747,6)="Arbeid","Uurtarief",AND(LEFT(F1747,8)="Bijdrage",RIGHT(F1747,15)="(vrijwilligers)"),"Vast tarief"),"")</f>
        <v/>
      </c>
      <c r="O1747" s="90"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0"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1"/>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59"/>
      <c r="Z1747" s="49"/>
      <c r="AA1747" s="37" t="str" cm="1">
        <f t="array" ref="AA1747">IFERROR(IF(INDEX(SubsidieTabel!$Q$1:$T$9,MATCH($F1747,SubsidieTabel!$Q$1:$Q$9,0),IFERROR(MATCH(Methode_Keuze,SubsidieTabel!$Q$1:$T$1,0),2))&lt;&gt;1=TRUE,"ja",""),"")</f>
        <v/>
      </c>
    </row>
    <row r="1748" spans="1:27" ht="15" customHeight="1" x14ac:dyDescent="0.25">
      <c r="A1748" s="85"/>
      <c r="B1748" s="217" t="str">
        <f>IF(A1748&lt;&gt;"",_xlfn.MAXIFS($B$1:B1747,$A$1:A1747,A1748)+1,"")</f>
        <v/>
      </c>
      <c r="C1748" s="50"/>
      <c r="D1748" s="50"/>
      <c r="E1748" s="50"/>
      <c r="F1748" s="50"/>
      <c r="G1748" s="280"/>
      <c r="H1748" s="293"/>
      <c r="I1748" s="292"/>
      <c r="J1748" s="292"/>
      <c r="K1748" s="200"/>
      <c r="L1748" s="200"/>
      <c r="M1748" s="89" t="str">
        <f>IFERROR(VLOOKUP(H1748,Lijsten!$H$1:$I$100,2,0),"")</f>
        <v/>
      </c>
      <c r="N1748" s="89" t="str" cm="1">
        <f t="array" ref="N1748">IFERROR(_xlfn.IFS(AND(LEFT(F1748,6)="Arbeid",RIGHT(F1748,3)&lt;&gt;"IKS"),IFERROR(VLOOKUP($G1748,Tb_KostenTypen[],2,0),"tarief"),RIGHT(F1748,3)="IKS","Uurtarief",LEFT(F1748,6)="Arbeid","Uurtarief",AND(LEFT(F1748,8)="Bijdrage",RIGHT(F1748,15)="(vrijwilligers)"),"Vast tarief"),"")</f>
        <v/>
      </c>
      <c r="O1748" s="90"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0"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1"/>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59"/>
      <c r="Z1748" s="49"/>
      <c r="AA1748" s="37" t="str" cm="1">
        <f t="array" ref="AA1748">IFERROR(IF(INDEX(SubsidieTabel!$Q$1:$T$9,MATCH($F1748,SubsidieTabel!$Q$1:$Q$9,0),IFERROR(MATCH(Methode_Keuze,SubsidieTabel!$Q$1:$T$1,0),2))&lt;&gt;1=TRUE,"ja",""),"")</f>
        <v/>
      </c>
    </row>
    <row r="1749" spans="1:27" ht="15" customHeight="1" x14ac:dyDescent="0.25">
      <c r="A1749" s="85"/>
      <c r="B1749" s="217" t="str">
        <f>IF(A1749&lt;&gt;"",_xlfn.MAXIFS($B$1:B1748,$A$1:A1748,A1749)+1,"")</f>
        <v/>
      </c>
      <c r="C1749" s="50"/>
      <c r="D1749" s="50"/>
      <c r="E1749" s="50"/>
      <c r="F1749" s="50"/>
      <c r="G1749" s="280"/>
      <c r="H1749" s="293"/>
      <c r="I1749" s="292"/>
      <c r="J1749" s="292"/>
      <c r="K1749" s="200"/>
      <c r="L1749" s="200"/>
      <c r="M1749" s="89" t="str">
        <f>IFERROR(VLOOKUP(H1749,Lijsten!$H$1:$I$100,2,0),"")</f>
        <v/>
      </c>
      <c r="N1749" s="89" t="str" cm="1">
        <f t="array" ref="N1749">IFERROR(_xlfn.IFS(AND(LEFT(F1749,6)="Arbeid",RIGHT(F1749,3)&lt;&gt;"IKS"),IFERROR(VLOOKUP($G1749,Tb_KostenTypen[],2,0),"tarief"),RIGHT(F1749,3)="IKS","Uurtarief",LEFT(F1749,6)="Arbeid","Uurtarief",AND(LEFT(F1749,8)="Bijdrage",RIGHT(F1749,15)="(vrijwilligers)"),"Vast tarief"),"")</f>
        <v/>
      </c>
      <c r="O1749" s="90"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0"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1"/>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59"/>
      <c r="Z1749" s="49"/>
      <c r="AA1749" s="37" t="str" cm="1">
        <f t="array" ref="AA1749">IFERROR(IF(INDEX(SubsidieTabel!$Q$1:$T$9,MATCH($F1749,SubsidieTabel!$Q$1:$Q$9,0),IFERROR(MATCH(Methode_Keuze,SubsidieTabel!$Q$1:$T$1,0),2))&lt;&gt;1=TRUE,"ja",""),"")</f>
        <v/>
      </c>
    </row>
    <row r="1750" spans="1:27" ht="15" customHeight="1" x14ac:dyDescent="0.25">
      <c r="A1750" s="85"/>
      <c r="B1750" s="217" t="str">
        <f>IF(A1750&lt;&gt;"",_xlfn.MAXIFS($B$1:B1749,$A$1:A1749,A1750)+1,"")</f>
        <v/>
      </c>
      <c r="C1750" s="50"/>
      <c r="D1750" s="50"/>
      <c r="E1750" s="50"/>
      <c r="F1750" s="50"/>
      <c r="G1750" s="280"/>
      <c r="H1750" s="293"/>
      <c r="I1750" s="292"/>
      <c r="J1750" s="292"/>
      <c r="K1750" s="200"/>
      <c r="L1750" s="200"/>
      <c r="M1750" s="89" t="str">
        <f>IFERROR(VLOOKUP(H1750,Lijsten!$H$1:$I$100,2,0),"")</f>
        <v/>
      </c>
      <c r="N1750" s="89" t="str" cm="1">
        <f t="array" ref="N1750">IFERROR(_xlfn.IFS(AND(LEFT(F1750,6)="Arbeid",RIGHT(F1750,3)&lt;&gt;"IKS"),IFERROR(VLOOKUP($G1750,Tb_KostenTypen[],2,0),"tarief"),RIGHT(F1750,3)="IKS","Uurtarief",LEFT(F1750,6)="Arbeid","Uurtarief",AND(LEFT(F1750,8)="Bijdrage",RIGHT(F1750,15)="(vrijwilligers)"),"Vast tarief"),"")</f>
        <v/>
      </c>
      <c r="O1750" s="90"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0"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1"/>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59"/>
      <c r="Z1750" s="49"/>
      <c r="AA1750" s="37" t="str" cm="1">
        <f t="array" ref="AA1750">IFERROR(IF(INDEX(SubsidieTabel!$Q$1:$T$9,MATCH($F1750,SubsidieTabel!$Q$1:$Q$9,0),IFERROR(MATCH(Methode_Keuze,SubsidieTabel!$Q$1:$T$1,0),2))&lt;&gt;1=TRUE,"ja",""),"")</f>
        <v/>
      </c>
    </row>
    <row r="1751" spans="1:27" ht="15" customHeight="1" x14ac:dyDescent="0.25">
      <c r="A1751" s="85"/>
      <c r="B1751" s="217" t="str">
        <f>IF(A1751&lt;&gt;"",_xlfn.MAXIFS($B$1:B1750,$A$1:A1750,A1751)+1,"")</f>
        <v/>
      </c>
      <c r="C1751" s="50"/>
      <c r="D1751" s="50"/>
      <c r="E1751" s="50"/>
      <c r="F1751" s="50"/>
      <c r="G1751" s="280"/>
      <c r="H1751" s="293"/>
      <c r="I1751" s="292"/>
      <c r="J1751" s="292"/>
      <c r="K1751" s="200"/>
      <c r="L1751" s="200"/>
      <c r="M1751" s="89" t="str">
        <f>IFERROR(VLOOKUP(H1751,Lijsten!$H$1:$I$100,2,0),"")</f>
        <v/>
      </c>
      <c r="N1751" s="89" t="str" cm="1">
        <f t="array" ref="N1751">IFERROR(_xlfn.IFS(AND(LEFT(F1751,6)="Arbeid",RIGHT(F1751,3)&lt;&gt;"IKS"),IFERROR(VLOOKUP($G1751,Tb_KostenTypen[],2,0),"tarief"),RIGHT(F1751,3)="IKS","Uurtarief",LEFT(F1751,6)="Arbeid","Uurtarief",AND(LEFT(F1751,8)="Bijdrage",RIGHT(F1751,15)="(vrijwilligers)"),"Vast tarief"),"")</f>
        <v/>
      </c>
      <c r="O1751" s="90"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0"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1"/>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59"/>
      <c r="Z1751" s="49"/>
      <c r="AA1751" s="37" t="str" cm="1">
        <f t="array" ref="AA1751">IFERROR(IF(INDEX(SubsidieTabel!$Q$1:$T$9,MATCH($F1751,SubsidieTabel!$Q$1:$Q$9,0),IFERROR(MATCH(Methode_Keuze,SubsidieTabel!$Q$1:$T$1,0),2))&lt;&gt;1=TRUE,"ja",""),"")</f>
        <v/>
      </c>
    </row>
    <row r="1752" spans="1:27" ht="15" customHeight="1" x14ac:dyDescent="0.25">
      <c r="A1752" s="85"/>
      <c r="B1752" s="217" t="str">
        <f>IF(A1752&lt;&gt;"",_xlfn.MAXIFS($B$1:B1751,$A$1:A1751,A1752)+1,"")</f>
        <v/>
      </c>
      <c r="C1752" s="50"/>
      <c r="D1752" s="50"/>
      <c r="E1752" s="50"/>
      <c r="F1752" s="50"/>
      <c r="G1752" s="280"/>
      <c r="H1752" s="293"/>
      <c r="I1752" s="292"/>
      <c r="J1752" s="292"/>
      <c r="K1752" s="200"/>
      <c r="L1752" s="200"/>
      <c r="M1752" s="89" t="str">
        <f>IFERROR(VLOOKUP(H1752,Lijsten!$H$1:$I$100,2,0),"")</f>
        <v/>
      </c>
      <c r="N1752" s="89" t="str" cm="1">
        <f t="array" ref="N1752">IFERROR(_xlfn.IFS(AND(LEFT(F1752,6)="Arbeid",RIGHT(F1752,3)&lt;&gt;"IKS"),IFERROR(VLOOKUP($G1752,Tb_KostenTypen[],2,0),"tarief"),RIGHT(F1752,3)="IKS","Uurtarief",LEFT(F1752,6)="Arbeid","Uurtarief",AND(LEFT(F1752,8)="Bijdrage",RIGHT(F1752,15)="(vrijwilligers)"),"Vast tarief"),"")</f>
        <v/>
      </c>
      <c r="O1752" s="90"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0"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1"/>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59"/>
      <c r="Z1752" s="49"/>
      <c r="AA1752" s="37" t="str" cm="1">
        <f t="array" ref="AA1752">IFERROR(IF(INDEX(SubsidieTabel!$Q$1:$T$9,MATCH($F1752,SubsidieTabel!$Q$1:$Q$9,0),IFERROR(MATCH(Methode_Keuze,SubsidieTabel!$Q$1:$T$1,0),2))&lt;&gt;1=TRUE,"ja",""),"")</f>
        <v/>
      </c>
    </row>
    <row r="1753" spans="1:27" ht="15" customHeight="1" x14ac:dyDescent="0.25">
      <c r="A1753" s="85"/>
      <c r="B1753" s="217" t="str">
        <f>IF(A1753&lt;&gt;"",_xlfn.MAXIFS($B$1:B1752,$A$1:A1752,A1753)+1,"")</f>
        <v/>
      </c>
      <c r="C1753" s="50"/>
      <c r="D1753" s="50"/>
      <c r="E1753" s="50"/>
      <c r="F1753" s="50"/>
      <c r="G1753" s="280"/>
      <c r="H1753" s="293"/>
      <c r="I1753" s="292"/>
      <c r="J1753" s="292"/>
      <c r="K1753" s="200"/>
      <c r="L1753" s="200"/>
      <c r="M1753" s="89" t="str">
        <f>IFERROR(VLOOKUP(H1753,Lijsten!$H$1:$I$100,2,0),"")</f>
        <v/>
      </c>
      <c r="N1753" s="89" t="str" cm="1">
        <f t="array" ref="N1753">IFERROR(_xlfn.IFS(AND(LEFT(F1753,6)="Arbeid",RIGHT(F1753,3)&lt;&gt;"IKS"),IFERROR(VLOOKUP($G1753,Tb_KostenTypen[],2,0),"tarief"),RIGHT(F1753,3)="IKS","Uurtarief",LEFT(F1753,6)="Arbeid","Uurtarief",AND(LEFT(F1753,8)="Bijdrage",RIGHT(F1753,15)="(vrijwilligers)"),"Vast tarief"),"")</f>
        <v/>
      </c>
      <c r="O1753" s="90"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0"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1"/>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59"/>
      <c r="Z1753" s="49"/>
      <c r="AA1753" s="37" t="str" cm="1">
        <f t="array" ref="AA1753">IFERROR(IF(INDEX(SubsidieTabel!$Q$1:$T$9,MATCH($F1753,SubsidieTabel!$Q$1:$Q$9,0),IFERROR(MATCH(Methode_Keuze,SubsidieTabel!$Q$1:$T$1,0),2))&lt;&gt;1=TRUE,"ja",""),"")</f>
        <v/>
      </c>
    </row>
    <row r="1754" spans="1:27" ht="15" customHeight="1" x14ac:dyDescent="0.25">
      <c r="A1754" s="85"/>
      <c r="B1754" s="217" t="str">
        <f>IF(A1754&lt;&gt;"",_xlfn.MAXIFS($B$1:B1753,$A$1:A1753,A1754)+1,"")</f>
        <v/>
      </c>
      <c r="C1754" s="50"/>
      <c r="D1754" s="50"/>
      <c r="E1754" s="50"/>
      <c r="F1754" s="50"/>
      <c r="G1754" s="280"/>
      <c r="H1754" s="293"/>
      <c r="I1754" s="292"/>
      <c r="J1754" s="292"/>
      <c r="K1754" s="200"/>
      <c r="L1754" s="200"/>
      <c r="M1754" s="89" t="str">
        <f>IFERROR(VLOOKUP(H1754,Lijsten!$H$1:$I$100,2,0),"")</f>
        <v/>
      </c>
      <c r="N1754" s="89" t="str" cm="1">
        <f t="array" ref="N1754">IFERROR(_xlfn.IFS(AND(LEFT(F1754,6)="Arbeid",RIGHT(F1754,3)&lt;&gt;"IKS"),IFERROR(VLOOKUP($G1754,Tb_KostenTypen[],2,0),"tarief"),RIGHT(F1754,3)="IKS","Uurtarief",LEFT(F1754,6)="Arbeid","Uurtarief",AND(LEFT(F1754,8)="Bijdrage",RIGHT(F1754,15)="(vrijwilligers)"),"Vast tarief"),"")</f>
        <v/>
      </c>
      <c r="O1754" s="90"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0"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1"/>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59"/>
      <c r="Z1754" s="49"/>
      <c r="AA1754" s="37" t="str" cm="1">
        <f t="array" ref="AA1754">IFERROR(IF(INDEX(SubsidieTabel!$Q$1:$T$9,MATCH($F1754,SubsidieTabel!$Q$1:$Q$9,0),IFERROR(MATCH(Methode_Keuze,SubsidieTabel!$Q$1:$T$1,0),2))&lt;&gt;1=TRUE,"ja",""),"")</f>
        <v/>
      </c>
    </row>
    <row r="1755" spans="1:27" ht="15" customHeight="1" x14ac:dyDescent="0.25">
      <c r="A1755" s="85"/>
      <c r="B1755" s="217" t="str">
        <f>IF(A1755&lt;&gt;"",_xlfn.MAXIFS($B$1:B1754,$A$1:A1754,A1755)+1,"")</f>
        <v/>
      </c>
      <c r="C1755" s="50"/>
      <c r="D1755" s="50"/>
      <c r="E1755" s="50"/>
      <c r="F1755" s="50"/>
      <c r="G1755" s="280"/>
      <c r="H1755" s="293"/>
      <c r="I1755" s="292"/>
      <c r="J1755" s="292"/>
      <c r="K1755" s="200"/>
      <c r="L1755" s="200"/>
      <c r="M1755" s="89" t="str">
        <f>IFERROR(VLOOKUP(H1755,Lijsten!$H$1:$I$100,2,0),"")</f>
        <v/>
      </c>
      <c r="N1755" s="89" t="str" cm="1">
        <f t="array" ref="N1755">IFERROR(_xlfn.IFS(AND(LEFT(F1755,6)="Arbeid",RIGHT(F1755,3)&lt;&gt;"IKS"),IFERROR(VLOOKUP($G1755,Tb_KostenTypen[],2,0),"tarief"),RIGHT(F1755,3)="IKS","Uurtarief",LEFT(F1755,6)="Arbeid","Uurtarief",AND(LEFT(F1755,8)="Bijdrage",RIGHT(F1755,15)="(vrijwilligers)"),"Vast tarief"),"")</f>
        <v/>
      </c>
      <c r="O1755" s="90"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0"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1"/>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59"/>
      <c r="Z1755" s="49"/>
      <c r="AA1755" s="37" t="str" cm="1">
        <f t="array" ref="AA1755">IFERROR(IF(INDEX(SubsidieTabel!$Q$1:$T$9,MATCH($F1755,SubsidieTabel!$Q$1:$Q$9,0),IFERROR(MATCH(Methode_Keuze,SubsidieTabel!$Q$1:$T$1,0),2))&lt;&gt;1=TRUE,"ja",""),"")</f>
        <v/>
      </c>
    </row>
    <row r="1756" spans="1:27" ht="15" customHeight="1" x14ac:dyDescent="0.25">
      <c r="A1756" s="85"/>
      <c r="B1756" s="217" t="str">
        <f>IF(A1756&lt;&gt;"",_xlfn.MAXIFS($B$1:B1755,$A$1:A1755,A1756)+1,"")</f>
        <v/>
      </c>
      <c r="C1756" s="50"/>
      <c r="D1756" s="50"/>
      <c r="E1756" s="50"/>
      <c r="F1756" s="50"/>
      <c r="G1756" s="280"/>
      <c r="H1756" s="293"/>
      <c r="I1756" s="292"/>
      <c r="J1756" s="292"/>
      <c r="K1756" s="200"/>
      <c r="L1756" s="200"/>
      <c r="M1756" s="89" t="str">
        <f>IFERROR(VLOOKUP(H1756,Lijsten!$H$1:$I$100,2,0),"")</f>
        <v/>
      </c>
      <c r="N1756" s="89" t="str" cm="1">
        <f t="array" ref="N1756">IFERROR(_xlfn.IFS(AND(LEFT(F1756,6)="Arbeid",RIGHT(F1756,3)&lt;&gt;"IKS"),IFERROR(VLOOKUP($G1756,Tb_KostenTypen[],2,0),"tarief"),RIGHT(F1756,3)="IKS","Uurtarief",LEFT(F1756,6)="Arbeid","Uurtarief",AND(LEFT(F1756,8)="Bijdrage",RIGHT(F1756,15)="(vrijwilligers)"),"Vast tarief"),"")</f>
        <v/>
      </c>
      <c r="O1756" s="90"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0"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1"/>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59"/>
      <c r="Z1756" s="49"/>
      <c r="AA1756" s="37" t="str" cm="1">
        <f t="array" ref="AA1756">IFERROR(IF(INDEX(SubsidieTabel!$Q$1:$T$9,MATCH($F1756,SubsidieTabel!$Q$1:$Q$9,0),IFERROR(MATCH(Methode_Keuze,SubsidieTabel!$Q$1:$T$1,0),2))&lt;&gt;1=TRUE,"ja",""),"")</f>
        <v/>
      </c>
    </row>
    <row r="1757" spans="1:27" ht="15" customHeight="1" x14ac:dyDescent="0.25">
      <c r="A1757" s="85"/>
      <c r="B1757" s="217" t="str">
        <f>IF(A1757&lt;&gt;"",_xlfn.MAXIFS($B$1:B1756,$A$1:A1756,A1757)+1,"")</f>
        <v/>
      </c>
      <c r="C1757" s="50"/>
      <c r="D1757" s="50"/>
      <c r="E1757" s="50"/>
      <c r="F1757" s="50"/>
      <c r="G1757" s="280"/>
      <c r="H1757" s="293"/>
      <c r="I1757" s="292"/>
      <c r="J1757" s="292"/>
      <c r="K1757" s="200"/>
      <c r="L1757" s="200"/>
      <c r="M1757" s="89" t="str">
        <f>IFERROR(VLOOKUP(H1757,Lijsten!$H$1:$I$100,2,0),"")</f>
        <v/>
      </c>
      <c r="N1757" s="89" t="str" cm="1">
        <f t="array" ref="N1757">IFERROR(_xlfn.IFS(AND(LEFT(F1757,6)="Arbeid",RIGHT(F1757,3)&lt;&gt;"IKS"),IFERROR(VLOOKUP($G1757,Tb_KostenTypen[],2,0),"tarief"),RIGHT(F1757,3)="IKS","Uurtarief",LEFT(F1757,6)="Arbeid","Uurtarief",AND(LEFT(F1757,8)="Bijdrage",RIGHT(F1757,15)="(vrijwilligers)"),"Vast tarief"),"")</f>
        <v/>
      </c>
      <c r="O1757" s="90"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0"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1"/>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59"/>
      <c r="Z1757" s="49"/>
      <c r="AA1757" s="37" t="str" cm="1">
        <f t="array" ref="AA1757">IFERROR(IF(INDEX(SubsidieTabel!$Q$1:$T$9,MATCH($F1757,SubsidieTabel!$Q$1:$Q$9,0),IFERROR(MATCH(Methode_Keuze,SubsidieTabel!$Q$1:$T$1,0),2))&lt;&gt;1=TRUE,"ja",""),"")</f>
        <v/>
      </c>
    </row>
    <row r="1758" spans="1:27" ht="15" customHeight="1" x14ac:dyDescent="0.25">
      <c r="A1758" s="85"/>
      <c r="B1758" s="217" t="str">
        <f>IF(A1758&lt;&gt;"",_xlfn.MAXIFS($B$1:B1757,$A$1:A1757,A1758)+1,"")</f>
        <v/>
      </c>
      <c r="C1758" s="50"/>
      <c r="D1758" s="50"/>
      <c r="E1758" s="50"/>
      <c r="F1758" s="50"/>
      <c r="G1758" s="280"/>
      <c r="H1758" s="293"/>
      <c r="I1758" s="292"/>
      <c r="J1758" s="292"/>
      <c r="K1758" s="200"/>
      <c r="L1758" s="200"/>
      <c r="M1758" s="89" t="str">
        <f>IFERROR(VLOOKUP(H1758,Lijsten!$H$1:$I$100,2,0),"")</f>
        <v/>
      </c>
      <c r="N1758" s="89" t="str" cm="1">
        <f t="array" ref="N1758">IFERROR(_xlfn.IFS(AND(LEFT(F1758,6)="Arbeid",RIGHT(F1758,3)&lt;&gt;"IKS"),IFERROR(VLOOKUP($G1758,Tb_KostenTypen[],2,0),"tarief"),RIGHT(F1758,3)="IKS","Uurtarief",LEFT(F1758,6)="Arbeid","Uurtarief",AND(LEFT(F1758,8)="Bijdrage",RIGHT(F1758,15)="(vrijwilligers)"),"Vast tarief"),"")</f>
        <v/>
      </c>
      <c r="O1758" s="90"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0"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1"/>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59"/>
      <c r="Z1758" s="49"/>
      <c r="AA1758" s="37" t="str" cm="1">
        <f t="array" ref="AA1758">IFERROR(IF(INDEX(SubsidieTabel!$Q$1:$T$9,MATCH($F1758,SubsidieTabel!$Q$1:$Q$9,0),IFERROR(MATCH(Methode_Keuze,SubsidieTabel!$Q$1:$T$1,0),2))&lt;&gt;1=TRUE,"ja",""),"")</f>
        <v/>
      </c>
    </row>
    <row r="1759" spans="1:27" ht="15" customHeight="1" x14ac:dyDescent="0.25">
      <c r="A1759" s="85"/>
      <c r="B1759" s="217" t="str">
        <f>IF(A1759&lt;&gt;"",_xlfn.MAXIFS($B$1:B1758,$A$1:A1758,A1759)+1,"")</f>
        <v/>
      </c>
      <c r="C1759" s="50"/>
      <c r="D1759" s="50"/>
      <c r="E1759" s="50"/>
      <c r="F1759" s="50"/>
      <c r="G1759" s="280"/>
      <c r="H1759" s="293"/>
      <c r="I1759" s="292"/>
      <c r="J1759" s="292"/>
      <c r="K1759" s="200"/>
      <c r="L1759" s="200"/>
      <c r="M1759" s="89" t="str">
        <f>IFERROR(VLOOKUP(H1759,Lijsten!$H$1:$I$100,2,0),"")</f>
        <v/>
      </c>
      <c r="N1759" s="89" t="str" cm="1">
        <f t="array" ref="N1759">IFERROR(_xlfn.IFS(AND(LEFT(F1759,6)="Arbeid",RIGHT(F1759,3)&lt;&gt;"IKS"),IFERROR(VLOOKUP($G1759,Tb_KostenTypen[],2,0),"tarief"),RIGHT(F1759,3)="IKS","Uurtarief",LEFT(F1759,6)="Arbeid","Uurtarief",AND(LEFT(F1759,8)="Bijdrage",RIGHT(F1759,15)="(vrijwilligers)"),"Vast tarief"),"")</f>
        <v/>
      </c>
      <c r="O1759" s="90"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0"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1"/>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59"/>
      <c r="Z1759" s="49"/>
      <c r="AA1759" s="37" t="str" cm="1">
        <f t="array" ref="AA1759">IFERROR(IF(INDEX(SubsidieTabel!$Q$1:$T$9,MATCH($F1759,SubsidieTabel!$Q$1:$Q$9,0),IFERROR(MATCH(Methode_Keuze,SubsidieTabel!$Q$1:$T$1,0),2))&lt;&gt;1=TRUE,"ja",""),"")</f>
        <v/>
      </c>
    </row>
    <row r="1760" spans="1:27" ht="15" customHeight="1" x14ac:dyDescent="0.25">
      <c r="A1760" s="85"/>
      <c r="B1760" s="217" t="str">
        <f>IF(A1760&lt;&gt;"",_xlfn.MAXIFS($B$1:B1759,$A$1:A1759,A1760)+1,"")</f>
        <v/>
      </c>
      <c r="C1760" s="50"/>
      <c r="D1760" s="50"/>
      <c r="E1760" s="50"/>
      <c r="F1760" s="50"/>
      <c r="G1760" s="280"/>
      <c r="H1760" s="293"/>
      <c r="I1760" s="292"/>
      <c r="J1760" s="292"/>
      <c r="K1760" s="200"/>
      <c r="L1760" s="200"/>
      <c r="M1760" s="89" t="str">
        <f>IFERROR(VLOOKUP(H1760,Lijsten!$H$1:$I$100,2,0),"")</f>
        <v/>
      </c>
      <c r="N1760" s="89" t="str" cm="1">
        <f t="array" ref="N1760">IFERROR(_xlfn.IFS(AND(LEFT(F1760,6)="Arbeid",RIGHT(F1760,3)&lt;&gt;"IKS"),IFERROR(VLOOKUP($G1760,Tb_KostenTypen[],2,0),"tarief"),RIGHT(F1760,3)="IKS","Uurtarief",LEFT(F1760,6)="Arbeid","Uurtarief",AND(LEFT(F1760,8)="Bijdrage",RIGHT(F1760,15)="(vrijwilligers)"),"Vast tarief"),"")</f>
        <v/>
      </c>
      <c r="O1760" s="90"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0"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1"/>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59"/>
      <c r="Z1760" s="49"/>
      <c r="AA1760" s="37" t="str" cm="1">
        <f t="array" ref="AA1760">IFERROR(IF(INDEX(SubsidieTabel!$Q$1:$T$9,MATCH($F1760,SubsidieTabel!$Q$1:$Q$9,0),IFERROR(MATCH(Methode_Keuze,SubsidieTabel!$Q$1:$T$1,0),2))&lt;&gt;1=TRUE,"ja",""),"")</f>
        <v/>
      </c>
    </row>
    <row r="1761" spans="1:27" ht="15" customHeight="1" x14ac:dyDescent="0.25">
      <c r="A1761" s="85"/>
      <c r="B1761" s="217" t="str">
        <f>IF(A1761&lt;&gt;"",_xlfn.MAXIFS($B$1:B1760,$A$1:A1760,A1761)+1,"")</f>
        <v/>
      </c>
      <c r="C1761" s="50"/>
      <c r="D1761" s="50"/>
      <c r="E1761" s="50"/>
      <c r="F1761" s="50"/>
      <c r="G1761" s="280"/>
      <c r="H1761" s="293"/>
      <c r="I1761" s="292"/>
      <c r="J1761" s="292"/>
      <c r="K1761" s="200"/>
      <c r="L1761" s="200"/>
      <c r="M1761" s="89" t="str">
        <f>IFERROR(VLOOKUP(H1761,Lijsten!$H$1:$I$100,2,0),"")</f>
        <v/>
      </c>
      <c r="N1761" s="89" t="str" cm="1">
        <f t="array" ref="N1761">IFERROR(_xlfn.IFS(AND(LEFT(F1761,6)="Arbeid",RIGHT(F1761,3)&lt;&gt;"IKS"),IFERROR(VLOOKUP($G1761,Tb_KostenTypen[],2,0),"tarief"),RIGHT(F1761,3)="IKS","Uurtarief",LEFT(F1761,6)="Arbeid","Uurtarief",AND(LEFT(F1761,8)="Bijdrage",RIGHT(F1761,15)="(vrijwilligers)"),"Vast tarief"),"")</f>
        <v/>
      </c>
      <c r="O1761" s="90"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0"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1"/>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59"/>
      <c r="Z1761" s="49"/>
      <c r="AA1761" s="37" t="str" cm="1">
        <f t="array" ref="AA1761">IFERROR(IF(INDEX(SubsidieTabel!$Q$1:$T$9,MATCH($F1761,SubsidieTabel!$Q$1:$Q$9,0),IFERROR(MATCH(Methode_Keuze,SubsidieTabel!$Q$1:$T$1,0),2))&lt;&gt;1=TRUE,"ja",""),"")</f>
        <v/>
      </c>
    </row>
    <row r="1762" spans="1:27" ht="15" customHeight="1" x14ac:dyDescent="0.25">
      <c r="A1762" s="85"/>
      <c r="B1762" s="217" t="str">
        <f>IF(A1762&lt;&gt;"",_xlfn.MAXIFS($B$1:B1761,$A$1:A1761,A1762)+1,"")</f>
        <v/>
      </c>
      <c r="C1762" s="50"/>
      <c r="D1762" s="50"/>
      <c r="E1762" s="50"/>
      <c r="F1762" s="50"/>
      <c r="G1762" s="280"/>
      <c r="H1762" s="293"/>
      <c r="I1762" s="292"/>
      <c r="J1762" s="292"/>
      <c r="K1762" s="200"/>
      <c r="L1762" s="200"/>
      <c r="M1762" s="89" t="str">
        <f>IFERROR(VLOOKUP(H1762,Lijsten!$H$1:$I$100,2,0),"")</f>
        <v/>
      </c>
      <c r="N1762" s="89" t="str" cm="1">
        <f t="array" ref="N1762">IFERROR(_xlfn.IFS(AND(LEFT(F1762,6)="Arbeid",RIGHT(F1762,3)&lt;&gt;"IKS"),IFERROR(VLOOKUP($G1762,Tb_KostenTypen[],2,0),"tarief"),RIGHT(F1762,3)="IKS","Uurtarief",LEFT(F1762,6)="Arbeid","Uurtarief",AND(LEFT(F1762,8)="Bijdrage",RIGHT(F1762,15)="(vrijwilligers)"),"Vast tarief"),"")</f>
        <v/>
      </c>
      <c r="O1762" s="90"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0"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1"/>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59"/>
      <c r="Z1762" s="49"/>
      <c r="AA1762" s="37" t="str" cm="1">
        <f t="array" ref="AA1762">IFERROR(IF(INDEX(SubsidieTabel!$Q$1:$T$9,MATCH($F1762,SubsidieTabel!$Q$1:$Q$9,0),IFERROR(MATCH(Methode_Keuze,SubsidieTabel!$Q$1:$T$1,0),2))&lt;&gt;1=TRUE,"ja",""),"")</f>
        <v/>
      </c>
    </row>
    <row r="1763" spans="1:27" ht="15" customHeight="1" x14ac:dyDescent="0.25">
      <c r="A1763" s="85"/>
      <c r="B1763" s="217" t="str">
        <f>IF(A1763&lt;&gt;"",_xlfn.MAXIFS($B$1:B1762,$A$1:A1762,A1763)+1,"")</f>
        <v/>
      </c>
      <c r="C1763" s="50"/>
      <c r="D1763" s="50"/>
      <c r="E1763" s="50"/>
      <c r="F1763" s="50"/>
      <c r="G1763" s="280"/>
      <c r="H1763" s="293"/>
      <c r="I1763" s="292"/>
      <c r="J1763" s="292"/>
      <c r="K1763" s="200"/>
      <c r="L1763" s="200"/>
      <c r="M1763" s="89" t="str">
        <f>IFERROR(VLOOKUP(H1763,Lijsten!$H$1:$I$100,2,0),"")</f>
        <v/>
      </c>
      <c r="N1763" s="89" t="str" cm="1">
        <f t="array" ref="N1763">IFERROR(_xlfn.IFS(AND(LEFT(F1763,6)="Arbeid",RIGHT(F1763,3)&lt;&gt;"IKS"),IFERROR(VLOOKUP($G1763,Tb_KostenTypen[],2,0),"tarief"),RIGHT(F1763,3)="IKS","Uurtarief",LEFT(F1763,6)="Arbeid","Uurtarief",AND(LEFT(F1763,8)="Bijdrage",RIGHT(F1763,15)="(vrijwilligers)"),"Vast tarief"),"")</f>
        <v/>
      </c>
      <c r="O1763" s="90"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0"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1"/>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59"/>
      <c r="Z1763" s="49"/>
      <c r="AA1763" s="37" t="str" cm="1">
        <f t="array" ref="AA1763">IFERROR(IF(INDEX(SubsidieTabel!$Q$1:$T$9,MATCH($F1763,SubsidieTabel!$Q$1:$Q$9,0),IFERROR(MATCH(Methode_Keuze,SubsidieTabel!$Q$1:$T$1,0),2))&lt;&gt;1=TRUE,"ja",""),"")</f>
        <v/>
      </c>
    </row>
    <row r="1764" spans="1:27" ht="15" customHeight="1" x14ac:dyDescent="0.25">
      <c r="A1764" s="85"/>
      <c r="B1764" s="217" t="str">
        <f>IF(A1764&lt;&gt;"",_xlfn.MAXIFS($B$1:B1763,$A$1:A1763,A1764)+1,"")</f>
        <v/>
      </c>
      <c r="C1764" s="50"/>
      <c r="D1764" s="50"/>
      <c r="E1764" s="50"/>
      <c r="F1764" s="50"/>
      <c r="G1764" s="280"/>
      <c r="H1764" s="293"/>
      <c r="I1764" s="292"/>
      <c r="J1764" s="292"/>
      <c r="K1764" s="200"/>
      <c r="L1764" s="200"/>
      <c r="M1764" s="89" t="str">
        <f>IFERROR(VLOOKUP(H1764,Lijsten!$H$1:$I$100,2,0),"")</f>
        <v/>
      </c>
      <c r="N1764" s="89" t="str" cm="1">
        <f t="array" ref="N1764">IFERROR(_xlfn.IFS(AND(LEFT(F1764,6)="Arbeid",RIGHT(F1764,3)&lt;&gt;"IKS"),IFERROR(VLOOKUP($G1764,Tb_KostenTypen[],2,0),"tarief"),RIGHT(F1764,3)="IKS","Uurtarief",LEFT(F1764,6)="Arbeid","Uurtarief",AND(LEFT(F1764,8)="Bijdrage",RIGHT(F1764,15)="(vrijwilligers)"),"Vast tarief"),"")</f>
        <v/>
      </c>
      <c r="O1764" s="90"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0"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1"/>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59"/>
      <c r="Z1764" s="49"/>
      <c r="AA1764" s="37" t="str" cm="1">
        <f t="array" ref="AA1764">IFERROR(IF(INDEX(SubsidieTabel!$Q$1:$T$9,MATCH($F1764,SubsidieTabel!$Q$1:$Q$9,0),IFERROR(MATCH(Methode_Keuze,SubsidieTabel!$Q$1:$T$1,0),2))&lt;&gt;1=TRUE,"ja",""),"")</f>
        <v/>
      </c>
    </row>
    <row r="1765" spans="1:27" ht="15" customHeight="1" x14ac:dyDescent="0.25">
      <c r="A1765" s="85"/>
      <c r="B1765" s="217" t="str">
        <f>IF(A1765&lt;&gt;"",_xlfn.MAXIFS($B$1:B1764,$A$1:A1764,A1765)+1,"")</f>
        <v/>
      </c>
      <c r="C1765" s="50"/>
      <c r="D1765" s="50"/>
      <c r="E1765" s="50"/>
      <c r="F1765" s="50"/>
      <c r="G1765" s="280"/>
      <c r="H1765" s="293"/>
      <c r="I1765" s="292"/>
      <c r="J1765" s="292"/>
      <c r="K1765" s="200"/>
      <c r="L1765" s="200"/>
      <c r="M1765" s="89" t="str">
        <f>IFERROR(VLOOKUP(H1765,Lijsten!$H$1:$I$100,2,0),"")</f>
        <v/>
      </c>
      <c r="N1765" s="89" t="str" cm="1">
        <f t="array" ref="N1765">IFERROR(_xlfn.IFS(AND(LEFT(F1765,6)="Arbeid",RIGHT(F1765,3)&lt;&gt;"IKS"),IFERROR(VLOOKUP($G1765,Tb_KostenTypen[],2,0),"tarief"),RIGHT(F1765,3)="IKS","Uurtarief",LEFT(F1765,6)="Arbeid","Uurtarief",AND(LEFT(F1765,8)="Bijdrage",RIGHT(F1765,15)="(vrijwilligers)"),"Vast tarief"),"")</f>
        <v/>
      </c>
      <c r="O1765" s="90"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0"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1"/>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59"/>
      <c r="Z1765" s="49"/>
      <c r="AA1765" s="37" t="str" cm="1">
        <f t="array" ref="AA1765">IFERROR(IF(INDEX(SubsidieTabel!$Q$1:$T$9,MATCH($F1765,SubsidieTabel!$Q$1:$Q$9,0),IFERROR(MATCH(Methode_Keuze,SubsidieTabel!$Q$1:$T$1,0),2))&lt;&gt;1=TRUE,"ja",""),"")</f>
        <v/>
      </c>
    </row>
    <row r="1766" spans="1:27" ht="15" customHeight="1" x14ac:dyDescent="0.25">
      <c r="A1766" s="85"/>
      <c r="B1766" s="217" t="str">
        <f>IF(A1766&lt;&gt;"",_xlfn.MAXIFS($B$1:B1765,$A$1:A1765,A1766)+1,"")</f>
        <v/>
      </c>
      <c r="C1766" s="50"/>
      <c r="D1766" s="50"/>
      <c r="E1766" s="50"/>
      <c r="F1766" s="50"/>
      <c r="G1766" s="280"/>
      <c r="H1766" s="293"/>
      <c r="I1766" s="292"/>
      <c r="J1766" s="292"/>
      <c r="K1766" s="200"/>
      <c r="L1766" s="200"/>
      <c r="M1766" s="89" t="str">
        <f>IFERROR(VLOOKUP(H1766,Lijsten!$H$1:$I$100,2,0),"")</f>
        <v/>
      </c>
      <c r="N1766" s="89" t="str" cm="1">
        <f t="array" ref="N1766">IFERROR(_xlfn.IFS(AND(LEFT(F1766,6)="Arbeid",RIGHT(F1766,3)&lt;&gt;"IKS"),IFERROR(VLOOKUP($G1766,Tb_KostenTypen[],2,0),"tarief"),RIGHT(F1766,3)="IKS","Uurtarief",LEFT(F1766,6)="Arbeid","Uurtarief",AND(LEFT(F1766,8)="Bijdrage",RIGHT(F1766,15)="(vrijwilligers)"),"Vast tarief"),"")</f>
        <v/>
      </c>
      <c r="O1766" s="90"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0"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1"/>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59"/>
      <c r="Z1766" s="49"/>
      <c r="AA1766" s="37" t="str" cm="1">
        <f t="array" ref="AA1766">IFERROR(IF(INDEX(SubsidieTabel!$Q$1:$T$9,MATCH($F1766,SubsidieTabel!$Q$1:$Q$9,0),IFERROR(MATCH(Methode_Keuze,SubsidieTabel!$Q$1:$T$1,0),2))&lt;&gt;1=TRUE,"ja",""),"")</f>
        <v/>
      </c>
    </row>
    <row r="1767" spans="1:27" ht="15" customHeight="1" x14ac:dyDescent="0.25">
      <c r="A1767" s="85"/>
      <c r="B1767" s="217" t="str">
        <f>IF(A1767&lt;&gt;"",_xlfn.MAXIFS($B$1:B1766,$A$1:A1766,A1767)+1,"")</f>
        <v/>
      </c>
      <c r="C1767" s="50"/>
      <c r="D1767" s="50"/>
      <c r="E1767" s="50"/>
      <c r="F1767" s="50"/>
      <c r="G1767" s="280"/>
      <c r="H1767" s="293"/>
      <c r="I1767" s="292"/>
      <c r="J1767" s="292"/>
      <c r="K1767" s="200"/>
      <c r="L1767" s="200"/>
      <c r="M1767" s="89" t="str">
        <f>IFERROR(VLOOKUP(H1767,Lijsten!$H$1:$I$100,2,0),"")</f>
        <v/>
      </c>
      <c r="N1767" s="89" t="str" cm="1">
        <f t="array" ref="N1767">IFERROR(_xlfn.IFS(AND(LEFT(F1767,6)="Arbeid",RIGHT(F1767,3)&lt;&gt;"IKS"),IFERROR(VLOOKUP($G1767,Tb_KostenTypen[],2,0),"tarief"),RIGHT(F1767,3)="IKS","Uurtarief",LEFT(F1767,6)="Arbeid","Uurtarief",AND(LEFT(F1767,8)="Bijdrage",RIGHT(F1767,15)="(vrijwilligers)"),"Vast tarief"),"")</f>
        <v/>
      </c>
      <c r="O1767" s="90"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0"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1"/>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59"/>
      <c r="Z1767" s="49"/>
      <c r="AA1767" s="37" t="str" cm="1">
        <f t="array" ref="AA1767">IFERROR(IF(INDEX(SubsidieTabel!$Q$1:$T$9,MATCH($F1767,SubsidieTabel!$Q$1:$Q$9,0),IFERROR(MATCH(Methode_Keuze,SubsidieTabel!$Q$1:$T$1,0),2))&lt;&gt;1=TRUE,"ja",""),"")</f>
        <v/>
      </c>
    </row>
    <row r="1768" spans="1:27" ht="15" customHeight="1" x14ac:dyDescent="0.25">
      <c r="A1768" s="85"/>
      <c r="B1768" s="217" t="str">
        <f>IF(A1768&lt;&gt;"",_xlfn.MAXIFS($B$1:B1767,$A$1:A1767,A1768)+1,"")</f>
        <v/>
      </c>
      <c r="C1768" s="50"/>
      <c r="D1768" s="50"/>
      <c r="E1768" s="50"/>
      <c r="F1768" s="50"/>
      <c r="G1768" s="280"/>
      <c r="H1768" s="293"/>
      <c r="I1768" s="292"/>
      <c r="J1768" s="292"/>
      <c r="K1768" s="200"/>
      <c r="L1768" s="200"/>
      <c r="M1768" s="89" t="str">
        <f>IFERROR(VLOOKUP(H1768,Lijsten!$H$1:$I$100,2,0),"")</f>
        <v/>
      </c>
      <c r="N1768" s="89" t="str" cm="1">
        <f t="array" ref="N1768">IFERROR(_xlfn.IFS(AND(LEFT(F1768,6)="Arbeid",RIGHT(F1768,3)&lt;&gt;"IKS"),IFERROR(VLOOKUP($G1768,Tb_KostenTypen[],2,0),"tarief"),RIGHT(F1768,3)="IKS","Uurtarief",LEFT(F1768,6)="Arbeid","Uurtarief",AND(LEFT(F1768,8)="Bijdrage",RIGHT(F1768,15)="(vrijwilligers)"),"Vast tarief"),"")</f>
        <v/>
      </c>
      <c r="O1768" s="90"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0"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1"/>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59"/>
      <c r="Z1768" s="49"/>
      <c r="AA1768" s="37" t="str" cm="1">
        <f t="array" ref="AA1768">IFERROR(IF(INDEX(SubsidieTabel!$Q$1:$T$9,MATCH($F1768,SubsidieTabel!$Q$1:$Q$9,0),IFERROR(MATCH(Methode_Keuze,SubsidieTabel!$Q$1:$T$1,0),2))&lt;&gt;1=TRUE,"ja",""),"")</f>
        <v/>
      </c>
    </row>
    <row r="1769" spans="1:27" ht="15" customHeight="1" x14ac:dyDescent="0.25">
      <c r="A1769" s="85"/>
      <c r="B1769" s="217" t="str">
        <f>IF(A1769&lt;&gt;"",_xlfn.MAXIFS($B$1:B1768,$A$1:A1768,A1769)+1,"")</f>
        <v/>
      </c>
      <c r="C1769" s="50"/>
      <c r="D1769" s="50"/>
      <c r="E1769" s="50"/>
      <c r="F1769" s="50"/>
      <c r="G1769" s="280"/>
      <c r="H1769" s="293"/>
      <c r="I1769" s="292"/>
      <c r="J1769" s="292"/>
      <c r="K1769" s="200"/>
      <c r="L1769" s="200"/>
      <c r="M1769" s="89" t="str">
        <f>IFERROR(VLOOKUP(H1769,Lijsten!$H$1:$I$100,2,0),"")</f>
        <v/>
      </c>
      <c r="N1769" s="89" t="str" cm="1">
        <f t="array" ref="N1769">IFERROR(_xlfn.IFS(AND(LEFT(F1769,6)="Arbeid",RIGHT(F1769,3)&lt;&gt;"IKS"),IFERROR(VLOOKUP($G1769,Tb_KostenTypen[],2,0),"tarief"),RIGHT(F1769,3)="IKS","Uurtarief",LEFT(F1769,6)="Arbeid","Uurtarief",AND(LEFT(F1769,8)="Bijdrage",RIGHT(F1769,15)="(vrijwilligers)"),"Vast tarief"),"")</f>
        <v/>
      </c>
      <c r="O1769" s="90"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0"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1"/>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59"/>
      <c r="Z1769" s="49"/>
      <c r="AA1769" s="37" t="str" cm="1">
        <f t="array" ref="AA1769">IFERROR(IF(INDEX(SubsidieTabel!$Q$1:$T$9,MATCH($F1769,SubsidieTabel!$Q$1:$Q$9,0),IFERROR(MATCH(Methode_Keuze,SubsidieTabel!$Q$1:$T$1,0),2))&lt;&gt;1=TRUE,"ja",""),"")</f>
        <v/>
      </c>
    </row>
    <row r="1770" spans="1:27" ht="15" customHeight="1" x14ac:dyDescent="0.25">
      <c r="A1770" s="85"/>
      <c r="B1770" s="217" t="str">
        <f>IF(A1770&lt;&gt;"",_xlfn.MAXIFS($B$1:B1769,$A$1:A1769,A1770)+1,"")</f>
        <v/>
      </c>
      <c r="C1770" s="50"/>
      <c r="D1770" s="50"/>
      <c r="E1770" s="50"/>
      <c r="F1770" s="50"/>
      <c r="G1770" s="280"/>
      <c r="H1770" s="293"/>
      <c r="I1770" s="292"/>
      <c r="J1770" s="292"/>
      <c r="K1770" s="200"/>
      <c r="L1770" s="200"/>
      <c r="M1770" s="89" t="str">
        <f>IFERROR(VLOOKUP(H1770,Lijsten!$H$1:$I$100,2,0),"")</f>
        <v/>
      </c>
      <c r="N1770" s="89" t="str" cm="1">
        <f t="array" ref="N1770">IFERROR(_xlfn.IFS(AND(LEFT(F1770,6)="Arbeid",RIGHT(F1770,3)&lt;&gt;"IKS"),IFERROR(VLOOKUP($G1770,Tb_KostenTypen[],2,0),"tarief"),RIGHT(F1770,3)="IKS","Uurtarief",LEFT(F1770,6)="Arbeid","Uurtarief",AND(LEFT(F1770,8)="Bijdrage",RIGHT(F1770,15)="(vrijwilligers)"),"Vast tarief"),"")</f>
        <v/>
      </c>
      <c r="O1770" s="90"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0"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1"/>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59"/>
      <c r="Z1770" s="49"/>
      <c r="AA1770" s="37" t="str" cm="1">
        <f t="array" ref="AA1770">IFERROR(IF(INDEX(SubsidieTabel!$Q$1:$T$9,MATCH($F1770,SubsidieTabel!$Q$1:$Q$9,0),IFERROR(MATCH(Methode_Keuze,SubsidieTabel!$Q$1:$T$1,0),2))&lt;&gt;1=TRUE,"ja",""),"")</f>
        <v/>
      </c>
    </row>
    <row r="1771" spans="1:27" ht="15" customHeight="1" x14ac:dyDescent="0.25">
      <c r="A1771" s="85"/>
      <c r="B1771" s="217" t="str">
        <f>IF(A1771&lt;&gt;"",_xlfn.MAXIFS($B$1:B1770,$A$1:A1770,A1771)+1,"")</f>
        <v/>
      </c>
      <c r="C1771" s="50"/>
      <c r="D1771" s="50"/>
      <c r="E1771" s="50"/>
      <c r="F1771" s="50"/>
      <c r="G1771" s="280"/>
      <c r="H1771" s="293"/>
      <c r="I1771" s="292"/>
      <c r="J1771" s="292"/>
      <c r="K1771" s="200"/>
      <c r="L1771" s="200"/>
      <c r="M1771" s="89" t="str">
        <f>IFERROR(VLOOKUP(H1771,Lijsten!$H$1:$I$100,2,0),"")</f>
        <v/>
      </c>
      <c r="N1771" s="89" t="str" cm="1">
        <f t="array" ref="N1771">IFERROR(_xlfn.IFS(AND(LEFT(F1771,6)="Arbeid",RIGHT(F1771,3)&lt;&gt;"IKS"),IFERROR(VLOOKUP($G1771,Tb_KostenTypen[],2,0),"tarief"),RIGHT(F1771,3)="IKS","Uurtarief",LEFT(F1771,6)="Arbeid","Uurtarief",AND(LEFT(F1771,8)="Bijdrage",RIGHT(F1771,15)="(vrijwilligers)"),"Vast tarief"),"")</f>
        <v/>
      </c>
      <c r="O1771" s="90"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0"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1"/>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59"/>
      <c r="Z1771" s="49"/>
      <c r="AA1771" s="37" t="str" cm="1">
        <f t="array" ref="AA1771">IFERROR(IF(INDEX(SubsidieTabel!$Q$1:$T$9,MATCH($F1771,SubsidieTabel!$Q$1:$Q$9,0),IFERROR(MATCH(Methode_Keuze,SubsidieTabel!$Q$1:$T$1,0),2))&lt;&gt;1=TRUE,"ja",""),"")</f>
        <v/>
      </c>
    </row>
    <row r="1772" spans="1:27" ht="15" customHeight="1" x14ac:dyDescent="0.25">
      <c r="A1772" s="85"/>
      <c r="B1772" s="217" t="str">
        <f>IF(A1772&lt;&gt;"",_xlfn.MAXIFS($B$1:B1771,$A$1:A1771,A1772)+1,"")</f>
        <v/>
      </c>
      <c r="C1772" s="50"/>
      <c r="D1772" s="50"/>
      <c r="E1772" s="50"/>
      <c r="F1772" s="50"/>
      <c r="G1772" s="280"/>
      <c r="H1772" s="293"/>
      <c r="I1772" s="292"/>
      <c r="J1772" s="292"/>
      <c r="K1772" s="200"/>
      <c r="L1772" s="200"/>
      <c r="M1772" s="89" t="str">
        <f>IFERROR(VLOOKUP(H1772,Lijsten!$H$1:$I$100,2,0),"")</f>
        <v/>
      </c>
      <c r="N1772" s="89" t="str" cm="1">
        <f t="array" ref="N1772">IFERROR(_xlfn.IFS(AND(LEFT(F1772,6)="Arbeid",RIGHT(F1772,3)&lt;&gt;"IKS"),IFERROR(VLOOKUP($G1772,Tb_KostenTypen[],2,0),"tarief"),RIGHT(F1772,3)="IKS","Uurtarief",LEFT(F1772,6)="Arbeid","Uurtarief",AND(LEFT(F1772,8)="Bijdrage",RIGHT(F1772,15)="(vrijwilligers)"),"Vast tarief"),"")</f>
        <v/>
      </c>
      <c r="O1772" s="90"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0"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1"/>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59"/>
      <c r="Z1772" s="49"/>
      <c r="AA1772" s="37" t="str" cm="1">
        <f t="array" ref="AA1772">IFERROR(IF(INDEX(SubsidieTabel!$Q$1:$T$9,MATCH($F1772,SubsidieTabel!$Q$1:$Q$9,0),IFERROR(MATCH(Methode_Keuze,SubsidieTabel!$Q$1:$T$1,0),2))&lt;&gt;1=TRUE,"ja",""),"")</f>
        <v/>
      </c>
    </row>
    <row r="1773" spans="1:27" ht="15" customHeight="1" x14ac:dyDescent="0.25">
      <c r="A1773" s="85"/>
      <c r="B1773" s="217" t="str">
        <f>IF(A1773&lt;&gt;"",_xlfn.MAXIFS($B$1:B1772,$A$1:A1772,A1773)+1,"")</f>
        <v/>
      </c>
      <c r="C1773" s="50"/>
      <c r="D1773" s="50"/>
      <c r="E1773" s="50"/>
      <c r="F1773" s="50"/>
      <c r="G1773" s="280"/>
      <c r="H1773" s="293"/>
      <c r="I1773" s="292"/>
      <c r="J1773" s="292"/>
      <c r="K1773" s="200"/>
      <c r="L1773" s="200"/>
      <c r="M1773" s="89" t="str">
        <f>IFERROR(VLOOKUP(H1773,Lijsten!$H$1:$I$100,2,0),"")</f>
        <v/>
      </c>
      <c r="N1773" s="89" t="str" cm="1">
        <f t="array" ref="N1773">IFERROR(_xlfn.IFS(AND(LEFT(F1773,6)="Arbeid",RIGHT(F1773,3)&lt;&gt;"IKS"),IFERROR(VLOOKUP($G1773,Tb_KostenTypen[],2,0),"tarief"),RIGHT(F1773,3)="IKS","Uurtarief",LEFT(F1773,6)="Arbeid","Uurtarief",AND(LEFT(F1773,8)="Bijdrage",RIGHT(F1773,15)="(vrijwilligers)"),"Vast tarief"),"")</f>
        <v/>
      </c>
      <c r="O1773" s="90"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0"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1"/>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59"/>
      <c r="Z1773" s="49"/>
      <c r="AA1773" s="37" t="str" cm="1">
        <f t="array" ref="AA1773">IFERROR(IF(INDEX(SubsidieTabel!$Q$1:$T$9,MATCH($F1773,SubsidieTabel!$Q$1:$Q$9,0),IFERROR(MATCH(Methode_Keuze,SubsidieTabel!$Q$1:$T$1,0),2))&lt;&gt;1=TRUE,"ja",""),"")</f>
        <v/>
      </c>
    </row>
    <row r="1774" spans="1:27" ht="15" customHeight="1" x14ac:dyDescent="0.25">
      <c r="A1774" s="85"/>
      <c r="B1774" s="217" t="str">
        <f>IF(A1774&lt;&gt;"",_xlfn.MAXIFS($B$1:B1773,$A$1:A1773,A1774)+1,"")</f>
        <v/>
      </c>
      <c r="C1774" s="50"/>
      <c r="D1774" s="50"/>
      <c r="E1774" s="50"/>
      <c r="F1774" s="50"/>
      <c r="G1774" s="280"/>
      <c r="H1774" s="293"/>
      <c r="I1774" s="292"/>
      <c r="J1774" s="292"/>
      <c r="K1774" s="200"/>
      <c r="L1774" s="200"/>
      <c r="M1774" s="89" t="str">
        <f>IFERROR(VLOOKUP(H1774,Lijsten!$H$1:$I$100,2,0),"")</f>
        <v/>
      </c>
      <c r="N1774" s="89" t="str" cm="1">
        <f t="array" ref="N1774">IFERROR(_xlfn.IFS(AND(LEFT(F1774,6)="Arbeid",RIGHT(F1774,3)&lt;&gt;"IKS"),IFERROR(VLOOKUP($G1774,Tb_KostenTypen[],2,0),"tarief"),RIGHT(F1774,3)="IKS","Uurtarief",LEFT(F1774,6)="Arbeid","Uurtarief",AND(LEFT(F1774,8)="Bijdrage",RIGHT(F1774,15)="(vrijwilligers)"),"Vast tarief"),"")</f>
        <v/>
      </c>
      <c r="O1774" s="90"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0"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1"/>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59"/>
      <c r="Z1774" s="49"/>
      <c r="AA1774" s="37" t="str" cm="1">
        <f t="array" ref="AA1774">IFERROR(IF(INDEX(SubsidieTabel!$Q$1:$T$9,MATCH($F1774,SubsidieTabel!$Q$1:$Q$9,0),IFERROR(MATCH(Methode_Keuze,SubsidieTabel!$Q$1:$T$1,0),2))&lt;&gt;1=TRUE,"ja",""),"")</f>
        <v/>
      </c>
    </row>
    <row r="1775" spans="1:27" ht="15" customHeight="1" x14ac:dyDescent="0.25">
      <c r="A1775" s="85"/>
      <c r="B1775" s="217" t="str">
        <f>IF(A1775&lt;&gt;"",_xlfn.MAXIFS($B$1:B1774,$A$1:A1774,A1775)+1,"")</f>
        <v/>
      </c>
      <c r="C1775" s="50"/>
      <c r="D1775" s="50"/>
      <c r="E1775" s="50"/>
      <c r="F1775" s="50"/>
      <c r="G1775" s="280"/>
      <c r="H1775" s="293"/>
      <c r="I1775" s="292"/>
      <c r="J1775" s="292"/>
      <c r="K1775" s="200"/>
      <c r="L1775" s="200"/>
      <c r="M1775" s="89" t="str">
        <f>IFERROR(VLOOKUP(H1775,Lijsten!$H$1:$I$100,2,0),"")</f>
        <v/>
      </c>
      <c r="N1775" s="89" t="str" cm="1">
        <f t="array" ref="N1775">IFERROR(_xlfn.IFS(AND(LEFT(F1775,6)="Arbeid",RIGHT(F1775,3)&lt;&gt;"IKS"),IFERROR(VLOOKUP($G1775,Tb_KostenTypen[],2,0),"tarief"),RIGHT(F1775,3)="IKS","Uurtarief",LEFT(F1775,6)="Arbeid","Uurtarief",AND(LEFT(F1775,8)="Bijdrage",RIGHT(F1775,15)="(vrijwilligers)"),"Vast tarief"),"")</f>
        <v/>
      </c>
      <c r="O1775" s="90"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0"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1"/>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59"/>
      <c r="Z1775" s="49"/>
      <c r="AA1775" s="37" t="str" cm="1">
        <f t="array" ref="AA1775">IFERROR(IF(INDEX(SubsidieTabel!$Q$1:$T$9,MATCH($F1775,SubsidieTabel!$Q$1:$Q$9,0),IFERROR(MATCH(Methode_Keuze,SubsidieTabel!$Q$1:$T$1,0),2))&lt;&gt;1=TRUE,"ja",""),"")</f>
        <v/>
      </c>
    </row>
    <row r="1776" spans="1:27" ht="15" customHeight="1" x14ac:dyDescent="0.25">
      <c r="A1776" s="85"/>
      <c r="B1776" s="217" t="str">
        <f>IF(A1776&lt;&gt;"",_xlfn.MAXIFS($B$1:B1775,$A$1:A1775,A1776)+1,"")</f>
        <v/>
      </c>
      <c r="C1776" s="50"/>
      <c r="D1776" s="50"/>
      <c r="E1776" s="50"/>
      <c r="F1776" s="50"/>
      <c r="G1776" s="280"/>
      <c r="H1776" s="293"/>
      <c r="I1776" s="292"/>
      <c r="J1776" s="292"/>
      <c r="K1776" s="200"/>
      <c r="L1776" s="200"/>
      <c r="M1776" s="89" t="str">
        <f>IFERROR(VLOOKUP(H1776,Lijsten!$H$1:$I$100,2,0),"")</f>
        <v/>
      </c>
      <c r="N1776" s="89" t="str" cm="1">
        <f t="array" ref="N1776">IFERROR(_xlfn.IFS(AND(LEFT(F1776,6)="Arbeid",RIGHT(F1776,3)&lt;&gt;"IKS"),IFERROR(VLOOKUP($G1776,Tb_KostenTypen[],2,0),"tarief"),RIGHT(F1776,3)="IKS","Uurtarief",LEFT(F1776,6)="Arbeid","Uurtarief",AND(LEFT(F1776,8)="Bijdrage",RIGHT(F1776,15)="(vrijwilligers)"),"Vast tarief"),"")</f>
        <v/>
      </c>
      <c r="O1776" s="90"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0"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1"/>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59"/>
      <c r="Z1776" s="49"/>
      <c r="AA1776" s="37" t="str" cm="1">
        <f t="array" ref="AA1776">IFERROR(IF(INDEX(SubsidieTabel!$Q$1:$T$9,MATCH($F1776,SubsidieTabel!$Q$1:$Q$9,0),IFERROR(MATCH(Methode_Keuze,SubsidieTabel!$Q$1:$T$1,0),2))&lt;&gt;1=TRUE,"ja",""),"")</f>
        <v/>
      </c>
    </row>
    <row r="1777" spans="1:27" ht="15" customHeight="1" x14ac:dyDescent="0.25">
      <c r="A1777" s="85"/>
      <c r="B1777" s="217" t="str">
        <f>IF(A1777&lt;&gt;"",_xlfn.MAXIFS($B$1:B1776,$A$1:A1776,A1777)+1,"")</f>
        <v/>
      </c>
      <c r="C1777" s="50"/>
      <c r="D1777" s="50"/>
      <c r="E1777" s="50"/>
      <c r="F1777" s="50"/>
      <c r="G1777" s="280"/>
      <c r="H1777" s="293"/>
      <c r="I1777" s="292"/>
      <c r="J1777" s="292"/>
      <c r="K1777" s="200"/>
      <c r="L1777" s="200"/>
      <c r="M1777" s="89" t="str">
        <f>IFERROR(VLOOKUP(H1777,Lijsten!$H$1:$I$100,2,0),"")</f>
        <v/>
      </c>
      <c r="N1777" s="89" t="str" cm="1">
        <f t="array" ref="N1777">IFERROR(_xlfn.IFS(AND(LEFT(F1777,6)="Arbeid",RIGHT(F1777,3)&lt;&gt;"IKS"),IFERROR(VLOOKUP($G1777,Tb_KostenTypen[],2,0),"tarief"),RIGHT(F1777,3)="IKS","Uurtarief",LEFT(F1777,6)="Arbeid","Uurtarief",AND(LEFT(F1777,8)="Bijdrage",RIGHT(F1777,15)="(vrijwilligers)"),"Vast tarief"),"")</f>
        <v/>
      </c>
      <c r="O1777" s="90"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0"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1"/>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59"/>
      <c r="Z1777" s="49"/>
      <c r="AA1777" s="37" t="str" cm="1">
        <f t="array" ref="AA1777">IFERROR(IF(INDEX(SubsidieTabel!$Q$1:$T$9,MATCH($F1777,SubsidieTabel!$Q$1:$Q$9,0),IFERROR(MATCH(Methode_Keuze,SubsidieTabel!$Q$1:$T$1,0),2))&lt;&gt;1=TRUE,"ja",""),"")</f>
        <v/>
      </c>
    </row>
    <row r="1778" spans="1:27" ht="15" customHeight="1" x14ac:dyDescent="0.25">
      <c r="A1778" s="85"/>
      <c r="B1778" s="217" t="str">
        <f>IF(A1778&lt;&gt;"",_xlfn.MAXIFS($B$1:B1777,$A$1:A1777,A1778)+1,"")</f>
        <v/>
      </c>
      <c r="C1778" s="50"/>
      <c r="D1778" s="50"/>
      <c r="E1778" s="50"/>
      <c r="F1778" s="50"/>
      <c r="G1778" s="280"/>
      <c r="H1778" s="293"/>
      <c r="I1778" s="292"/>
      <c r="J1778" s="292"/>
      <c r="K1778" s="200"/>
      <c r="L1778" s="200"/>
      <c r="M1778" s="89" t="str">
        <f>IFERROR(VLOOKUP(H1778,Lijsten!$H$1:$I$100,2,0),"")</f>
        <v/>
      </c>
      <c r="N1778" s="89" t="str" cm="1">
        <f t="array" ref="N1778">IFERROR(_xlfn.IFS(AND(LEFT(F1778,6)="Arbeid",RIGHT(F1778,3)&lt;&gt;"IKS"),IFERROR(VLOOKUP($G1778,Tb_KostenTypen[],2,0),"tarief"),RIGHT(F1778,3)="IKS","Uurtarief",LEFT(F1778,6)="Arbeid","Uurtarief",AND(LEFT(F1778,8)="Bijdrage",RIGHT(F1778,15)="(vrijwilligers)"),"Vast tarief"),"")</f>
        <v/>
      </c>
      <c r="O1778" s="90"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0"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1"/>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59"/>
      <c r="Z1778" s="49"/>
      <c r="AA1778" s="37" t="str" cm="1">
        <f t="array" ref="AA1778">IFERROR(IF(INDEX(SubsidieTabel!$Q$1:$T$9,MATCH($F1778,SubsidieTabel!$Q$1:$Q$9,0),IFERROR(MATCH(Methode_Keuze,SubsidieTabel!$Q$1:$T$1,0),2))&lt;&gt;1=TRUE,"ja",""),"")</f>
        <v/>
      </c>
    </row>
    <row r="1779" spans="1:27" ht="15" customHeight="1" x14ac:dyDescent="0.25">
      <c r="A1779" s="85"/>
      <c r="B1779" s="217" t="str">
        <f>IF(A1779&lt;&gt;"",_xlfn.MAXIFS($B$1:B1778,$A$1:A1778,A1779)+1,"")</f>
        <v/>
      </c>
      <c r="C1779" s="50"/>
      <c r="D1779" s="50"/>
      <c r="E1779" s="50"/>
      <c r="F1779" s="50"/>
      <c r="G1779" s="280"/>
      <c r="H1779" s="293"/>
      <c r="I1779" s="292"/>
      <c r="J1779" s="292"/>
      <c r="K1779" s="200"/>
      <c r="L1779" s="200"/>
      <c r="M1779" s="89" t="str">
        <f>IFERROR(VLOOKUP(H1779,Lijsten!$H$1:$I$100,2,0),"")</f>
        <v/>
      </c>
      <c r="N1779" s="89" t="str" cm="1">
        <f t="array" ref="N1779">IFERROR(_xlfn.IFS(AND(LEFT(F1779,6)="Arbeid",RIGHT(F1779,3)&lt;&gt;"IKS"),IFERROR(VLOOKUP($G1779,Tb_KostenTypen[],2,0),"tarief"),RIGHT(F1779,3)="IKS","Uurtarief",LEFT(F1779,6)="Arbeid","Uurtarief",AND(LEFT(F1779,8)="Bijdrage",RIGHT(F1779,15)="(vrijwilligers)"),"Vast tarief"),"")</f>
        <v/>
      </c>
      <c r="O1779" s="90"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0"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1"/>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59"/>
      <c r="Z1779" s="49"/>
      <c r="AA1779" s="37" t="str" cm="1">
        <f t="array" ref="AA1779">IFERROR(IF(INDEX(SubsidieTabel!$Q$1:$T$9,MATCH($F1779,SubsidieTabel!$Q$1:$Q$9,0),IFERROR(MATCH(Methode_Keuze,SubsidieTabel!$Q$1:$T$1,0),2))&lt;&gt;1=TRUE,"ja",""),"")</f>
        <v/>
      </c>
    </row>
    <row r="1780" spans="1:27" ht="15" customHeight="1" x14ac:dyDescent="0.25">
      <c r="A1780" s="85"/>
      <c r="B1780" s="217" t="str">
        <f>IF(A1780&lt;&gt;"",_xlfn.MAXIFS($B$1:B1779,$A$1:A1779,A1780)+1,"")</f>
        <v/>
      </c>
      <c r="C1780" s="50"/>
      <c r="D1780" s="50"/>
      <c r="E1780" s="50"/>
      <c r="F1780" s="50"/>
      <c r="G1780" s="280"/>
      <c r="H1780" s="293"/>
      <c r="I1780" s="292"/>
      <c r="J1780" s="292"/>
      <c r="K1780" s="200"/>
      <c r="L1780" s="200"/>
      <c r="M1780" s="89" t="str">
        <f>IFERROR(VLOOKUP(H1780,Lijsten!$H$1:$I$100,2,0),"")</f>
        <v/>
      </c>
      <c r="N1780" s="89" t="str" cm="1">
        <f t="array" ref="N1780">IFERROR(_xlfn.IFS(AND(LEFT(F1780,6)="Arbeid",RIGHT(F1780,3)&lt;&gt;"IKS"),IFERROR(VLOOKUP($G1780,Tb_KostenTypen[],2,0),"tarief"),RIGHT(F1780,3)="IKS","Uurtarief",LEFT(F1780,6)="Arbeid","Uurtarief",AND(LEFT(F1780,8)="Bijdrage",RIGHT(F1780,15)="(vrijwilligers)"),"Vast tarief"),"")</f>
        <v/>
      </c>
      <c r="O1780" s="90"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0"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1"/>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59"/>
      <c r="Z1780" s="49"/>
      <c r="AA1780" s="37" t="str" cm="1">
        <f t="array" ref="AA1780">IFERROR(IF(INDEX(SubsidieTabel!$Q$1:$T$9,MATCH($F1780,SubsidieTabel!$Q$1:$Q$9,0),IFERROR(MATCH(Methode_Keuze,SubsidieTabel!$Q$1:$T$1,0),2))&lt;&gt;1=TRUE,"ja",""),"")</f>
        <v/>
      </c>
    </row>
    <row r="1781" spans="1:27" ht="15" customHeight="1" x14ac:dyDescent="0.25">
      <c r="A1781" s="85"/>
      <c r="B1781" s="217" t="str">
        <f>IF(A1781&lt;&gt;"",_xlfn.MAXIFS($B$1:B1780,$A$1:A1780,A1781)+1,"")</f>
        <v/>
      </c>
      <c r="C1781" s="50"/>
      <c r="D1781" s="50"/>
      <c r="E1781" s="50"/>
      <c r="F1781" s="50"/>
      <c r="G1781" s="280"/>
      <c r="H1781" s="293"/>
      <c r="I1781" s="292"/>
      <c r="J1781" s="292"/>
      <c r="K1781" s="200"/>
      <c r="L1781" s="200"/>
      <c r="M1781" s="89" t="str">
        <f>IFERROR(VLOOKUP(H1781,Lijsten!$H$1:$I$100,2,0),"")</f>
        <v/>
      </c>
      <c r="N1781" s="89" t="str" cm="1">
        <f t="array" ref="N1781">IFERROR(_xlfn.IFS(AND(LEFT(F1781,6)="Arbeid",RIGHT(F1781,3)&lt;&gt;"IKS"),IFERROR(VLOOKUP($G1781,Tb_KostenTypen[],2,0),"tarief"),RIGHT(F1781,3)="IKS","Uurtarief",LEFT(F1781,6)="Arbeid","Uurtarief",AND(LEFT(F1781,8)="Bijdrage",RIGHT(F1781,15)="(vrijwilligers)"),"Vast tarief"),"")</f>
        <v/>
      </c>
      <c r="O1781" s="90"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0"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1"/>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59"/>
      <c r="Z1781" s="49"/>
      <c r="AA1781" s="37" t="str" cm="1">
        <f t="array" ref="AA1781">IFERROR(IF(INDEX(SubsidieTabel!$Q$1:$T$9,MATCH($F1781,SubsidieTabel!$Q$1:$Q$9,0),IFERROR(MATCH(Methode_Keuze,SubsidieTabel!$Q$1:$T$1,0),2))&lt;&gt;1=TRUE,"ja",""),"")</f>
        <v/>
      </c>
    </row>
    <row r="1782" spans="1:27" ht="15" customHeight="1" x14ac:dyDescent="0.25">
      <c r="A1782" s="85"/>
      <c r="B1782" s="217" t="str">
        <f>IF(A1782&lt;&gt;"",_xlfn.MAXIFS($B$1:B1781,$A$1:A1781,A1782)+1,"")</f>
        <v/>
      </c>
      <c r="C1782" s="50"/>
      <c r="D1782" s="50"/>
      <c r="E1782" s="50"/>
      <c r="F1782" s="50"/>
      <c r="G1782" s="280"/>
      <c r="H1782" s="293"/>
      <c r="I1782" s="292"/>
      <c r="J1782" s="292"/>
      <c r="K1782" s="200"/>
      <c r="L1782" s="200"/>
      <c r="M1782" s="89" t="str">
        <f>IFERROR(VLOOKUP(H1782,Lijsten!$H$1:$I$100,2,0),"")</f>
        <v/>
      </c>
      <c r="N1782" s="89" t="str" cm="1">
        <f t="array" ref="N1782">IFERROR(_xlfn.IFS(AND(LEFT(F1782,6)="Arbeid",RIGHT(F1782,3)&lt;&gt;"IKS"),IFERROR(VLOOKUP($G1782,Tb_KostenTypen[],2,0),"tarief"),RIGHT(F1782,3)="IKS","Uurtarief",LEFT(F1782,6)="Arbeid","Uurtarief",AND(LEFT(F1782,8)="Bijdrage",RIGHT(F1782,15)="(vrijwilligers)"),"Vast tarief"),"")</f>
        <v/>
      </c>
      <c r="O1782" s="90"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0"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1"/>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59"/>
      <c r="Z1782" s="49"/>
      <c r="AA1782" s="37" t="str" cm="1">
        <f t="array" ref="AA1782">IFERROR(IF(INDEX(SubsidieTabel!$Q$1:$T$9,MATCH($F1782,SubsidieTabel!$Q$1:$Q$9,0),IFERROR(MATCH(Methode_Keuze,SubsidieTabel!$Q$1:$T$1,0),2))&lt;&gt;1=TRUE,"ja",""),"")</f>
        <v/>
      </c>
    </row>
    <row r="1783" spans="1:27" ht="15" customHeight="1" x14ac:dyDescent="0.25">
      <c r="A1783" s="85"/>
      <c r="B1783" s="217" t="str">
        <f>IF(A1783&lt;&gt;"",_xlfn.MAXIFS($B$1:B1782,$A$1:A1782,A1783)+1,"")</f>
        <v/>
      </c>
      <c r="C1783" s="50"/>
      <c r="D1783" s="50"/>
      <c r="E1783" s="50"/>
      <c r="F1783" s="50"/>
      <c r="G1783" s="280"/>
      <c r="H1783" s="293"/>
      <c r="I1783" s="292"/>
      <c r="J1783" s="292"/>
      <c r="K1783" s="200"/>
      <c r="L1783" s="200"/>
      <c r="M1783" s="89" t="str">
        <f>IFERROR(VLOOKUP(H1783,Lijsten!$H$1:$I$100,2,0),"")</f>
        <v/>
      </c>
      <c r="N1783" s="89" t="str" cm="1">
        <f t="array" ref="N1783">IFERROR(_xlfn.IFS(AND(LEFT(F1783,6)="Arbeid",RIGHT(F1783,3)&lt;&gt;"IKS"),IFERROR(VLOOKUP($G1783,Tb_KostenTypen[],2,0),"tarief"),RIGHT(F1783,3)="IKS","Uurtarief",LEFT(F1783,6)="Arbeid","Uurtarief",AND(LEFT(F1783,8)="Bijdrage",RIGHT(F1783,15)="(vrijwilligers)"),"Vast tarief"),"")</f>
        <v/>
      </c>
      <c r="O1783" s="90"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0"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1"/>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59"/>
      <c r="Z1783" s="49"/>
      <c r="AA1783" s="37" t="str" cm="1">
        <f t="array" ref="AA1783">IFERROR(IF(INDEX(SubsidieTabel!$Q$1:$T$9,MATCH($F1783,SubsidieTabel!$Q$1:$Q$9,0),IFERROR(MATCH(Methode_Keuze,SubsidieTabel!$Q$1:$T$1,0),2))&lt;&gt;1=TRUE,"ja",""),"")</f>
        <v/>
      </c>
    </row>
    <row r="1784" spans="1:27" ht="15" customHeight="1" x14ac:dyDescent="0.25">
      <c r="A1784" s="85"/>
      <c r="B1784" s="217" t="str">
        <f>IF(A1784&lt;&gt;"",_xlfn.MAXIFS($B$1:B1783,$A$1:A1783,A1784)+1,"")</f>
        <v/>
      </c>
      <c r="C1784" s="50"/>
      <c r="D1784" s="50"/>
      <c r="E1784" s="50"/>
      <c r="F1784" s="50"/>
      <c r="G1784" s="280"/>
      <c r="H1784" s="293"/>
      <c r="I1784" s="292"/>
      <c r="J1784" s="292"/>
      <c r="K1784" s="200"/>
      <c r="L1784" s="200"/>
      <c r="M1784" s="89" t="str">
        <f>IFERROR(VLOOKUP(H1784,Lijsten!$H$1:$I$100,2,0),"")</f>
        <v/>
      </c>
      <c r="N1784" s="89" t="str" cm="1">
        <f t="array" ref="N1784">IFERROR(_xlfn.IFS(AND(LEFT(F1784,6)="Arbeid",RIGHT(F1784,3)&lt;&gt;"IKS"),IFERROR(VLOOKUP($G1784,Tb_KostenTypen[],2,0),"tarief"),RIGHT(F1784,3)="IKS","Uurtarief",LEFT(F1784,6)="Arbeid","Uurtarief",AND(LEFT(F1784,8)="Bijdrage",RIGHT(F1784,15)="(vrijwilligers)"),"Vast tarief"),"")</f>
        <v/>
      </c>
      <c r="O1784" s="90"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0"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1"/>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59"/>
      <c r="Z1784" s="49"/>
      <c r="AA1784" s="37" t="str" cm="1">
        <f t="array" ref="AA1784">IFERROR(IF(INDEX(SubsidieTabel!$Q$1:$T$9,MATCH($F1784,SubsidieTabel!$Q$1:$Q$9,0),IFERROR(MATCH(Methode_Keuze,SubsidieTabel!$Q$1:$T$1,0),2))&lt;&gt;1=TRUE,"ja",""),"")</f>
        <v/>
      </c>
    </row>
    <row r="1785" spans="1:27" ht="15" customHeight="1" x14ac:dyDescent="0.25">
      <c r="A1785" s="85"/>
      <c r="B1785" s="217" t="str">
        <f>IF(A1785&lt;&gt;"",_xlfn.MAXIFS($B$1:B1784,$A$1:A1784,A1785)+1,"")</f>
        <v/>
      </c>
      <c r="C1785" s="50"/>
      <c r="D1785" s="50"/>
      <c r="E1785" s="50"/>
      <c r="F1785" s="50"/>
      <c r="G1785" s="280"/>
      <c r="H1785" s="293"/>
      <c r="I1785" s="292"/>
      <c r="J1785" s="292"/>
      <c r="K1785" s="200"/>
      <c r="L1785" s="200"/>
      <c r="M1785" s="89" t="str">
        <f>IFERROR(VLOOKUP(H1785,Lijsten!$H$1:$I$100,2,0),"")</f>
        <v/>
      </c>
      <c r="N1785" s="89" t="str" cm="1">
        <f t="array" ref="N1785">IFERROR(_xlfn.IFS(AND(LEFT(F1785,6)="Arbeid",RIGHT(F1785,3)&lt;&gt;"IKS"),IFERROR(VLOOKUP($G1785,Tb_KostenTypen[],2,0),"tarief"),RIGHT(F1785,3)="IKS","Uurtarief",LEFT(F1785,6)="Arbeid","Uurtarief",AND(LEFT(F1785,8)="Bijdrage",RIGHT(F1785,15)="(vrijwilligers)"),"Vast tarief"),"")</f>
        <v/>
      </c>
      <c r="O1785" s="90"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0"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1"/>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59"/>
      <c r="Z1785" s="49"/>
      <c r="AA1785" s="37" t="str" cm="1">
        <f t="array" ref="AA1785">IFERROR(IF(INDEX(SubsidieTabel!$Q$1:$T$9,MATCH($F1785,SubsidieTabel!$Q$1:$Q$9,0),IFERROR(MATCH(Methode_Keuze,SubsidieTabel!$Q$1:$T$1,0),2))&lt;&gt;1=TRUE,"ja",""),"")</f>
        <v/>
      </c>
    </row>
    <row r="1786" spans="1:27" ht="15" customHeight="1" x14ac:dyDescent="0.25">
      <c r="A1786" s="85"/>
      <c r="B1786" s="217" t="str">
        <f>IF(A1786&lt;&gt;"",_xlfn.MAXIFS($B$1:B1785,$A$1:A1785,A1786)+1,"")</f>
        <v/>
      </c>
      <c r="C1786" s="50"/>
      <c r="D1786" s="50"/>
      <c r="E1786" s="50"/>
      <c r="F1786" s="50"/>
      <c r="G1786" s="280"/>
      <c r="H1786" s="293"/>
      <c r="I1786" s="292"/>
      <c r="J1786" s="292"/>
      <c r="K1786" s="200"/>
      <c r="L1786" s="200"/>
      <c r="M1786" s="89" t="str">
        <f>IFERROR(VLOOKUP(H1786,Lijsten!$H$1:$I$100,2,0),"")</f>
        <v/>
      </c>
      <c r="N1786" s="89" t="str" cm="1">
        <f t="array" ref="N1786">IFERROR(_xlfn.IFS(AND(LEFT(F1786,6)="Arbeid",RIGHT(F1786,3)&lt;&gt;"IKS"),IFERROR(VLOOKUP($G1786,Tb_KostenTypen[],2,0),"tarief"),RIGHT(F1786,3)="IKS","Uurtarief",LEFT(F1786,6)="Arbeid","Uurtarief",AND(LEFT(F1786,8)="Bijdrage",RIGHT(F1786,15)="(vrijwilligers)"),"Vast tarief"),"")</f>
        <v/>
      </c>
      <c r="O1786" s="90"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0"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1"/>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59"/>
      <c r="Z1786" s="49"/>
      <c r="AA1786" s="37" t="str" cm="1">
        <f t="array" ref="AA1786">IFERROR(IF(INDEX(SubsidieTabel!$Q$1:$T$9,MATCH($F1786,SubsidieTabel!$Q$1:$Q$9,0),IFERROR(MATCH(Methode_Keuze,SubsidieTabel!$Q$1:$T$1,0),2))&lt;&gt;1=TRUE,"ja",""),"")</f>
        <v/>
      </c>
    </row>
    <row r="1787" spans="1:27" ht="15" customHeight="1" x14ac:dyDescent="0.25">
      <c r="A1787" s="85"/>
      <c r="B1787" s="217" t="str">
        <f>IF(A1787&lt;&gt;"",_xlfn.MAXIFS($B$1:B1786,$A$1:A1786,A1787)+1,"")</f>
        <v/>
      </c>
      <c r="C1787" s="50"/>
      <c r="D1787" s="50"/>
      <c r="E1787" s="50"/>
      <c r="F1787" s="50"/>
      <c r="G1787" s="280"/>
      <c r="H1787" s="293"/>
      <c r="I1787" s="292"/>
      <c r="J1787" s="292"/>
      <c r="K1787" s="200"/>
      <c r="L1787" s="200"/>
      <c r="M1787" s="89" t="str">
        <f>IFERROR(VLOOKUP(H1787,Lijsten!$H$1:$I$100,2,0),"")</f>
        <v/>
      </c>
      <c r="N1787" s="89" t="str" cm="1">
        <f t="array" ref="N1787">IFERROR(_xlfn.IFS(AND(LEFT(F1787,6)="Arbeid",RIGHT(F1787,3)&lt;&gt;"IKS"),IFERROR(VLOOKUP($G1787,Tb_KostenTypen[],2,0),"tarief"),RIGHT(F1787,3)="IKS","Uurtarief",LEFT(F1787,6)="Arbeid","Uurtarief",AND(LEFT(F1787,8)="Bijdrage",RIGHT(F1787,15)="(vrijwilligers)"),"Vast tarief"),"")</f>
        <v/>
      </c>
      <c r="O1787" s="90"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0"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1"/>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59"/>
      <c r="Z1787" s="49"/>
      <c r="AA1787" s="37" t="str" cm="1">
        <f t="array" ref="AA1787">IFERROR(IF(INDEX(SubsidieTabel!$Q$1:$T$9,MATCH($F1787,SubsidieTabel!$Q$1:$Q$9,0),IFERROR(MATCH(Methode_Keuze,SubsidieTabel!$Q$1:$T$1,0),2))&lt;&gt;1=TRUE,"ja",""),"")</f>
        <v/>
      </c>
    </row>
    <row r="1788" spans="1:27" ht="15" customHeight="1" x14ac:dyDescent="0.25">
      <c r="A1788" s="85"/>
      <c r="B1788" s="217" t="str">
        <f>IF(A1788&lt;&gt;"",_xlfn.MAXIFS($B$1:B1787,$A$1:A1787,A1788)+1,"")</f>
        <v/>
      </c>
      <c r="C1788" s="50"/>
      <c r="D1788" s="50"/>
      <c r="E1788" s="50"/>
      <c r="F1788" s="50"/>
      <c r="G1788" s="280"/>
      <c r="H1788" s="293"/>
      <c r="I1788" s="292"/>
      <c r="J1788" s="292"/>
      <c r="K1788" s="200"/>
      <c r="L1788" s="200"/>
      <c r="M1788" s="89" t="str">
        <f>IFERROR(VLOOKUP(H1788,Lijsten!$H$1:$I$100,2,0),"")</f>
        <v/>
      </c>
      <c r="N1788" s="89" t="str" cm="1">
        <f t="array" ref="N1788">IFERROR(_xlfn.IFS(AND(LEFT(F1788,6)="Arbeid",RIGHT(F1788,3)&lt;&gt;"IKS"),IFERROR(VLOOKUP($G1788,Tb_KostenTypen[],2,0),"tarief"),RIGHT(F1788,3)="IKS","Uurtarief",LEFT(F1788,6)="Arbeid","Uurtarief",AND(LEFT(F1788,8)="Bijdrage",RIGHT(F1788,15)="(vrijwilligers)"),"Vast tarief"),"")</f>
        <v/>
      </c>
      <c r="O1788" s="90"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0"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1"/>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59"/>
      <c r="Z1788" s="49"/>
      <c r="AA1788" s="37" t="str" cm="1">
        <f t="array" ref="AA1788">IFERROR(IF(INDEX(SubsidieTabel!$Q$1:$T$9,MATCH($F1788,SubsidieTabel!$Q$1:$Q$9,0),IFERROR(MATCH(Methode_Keuze,SubsidieTabel!$Q$1:$T$1,0),2))&lt;&gt;1=TRUE,"ja",""),"")</f>
        <v/>
      </c>
    </row>
    <row r="1789" spans="1:27" ht="15" customHeight="1" x14ac:dyDescent="0.25">
      <c r="A1789" s="85"/>
      <c r="B1789" s="217" t="str">
        <f>IF(A1789&lt;&gt;"",_xlfn.MAXIFS($B$1:B1788,$A$1:A1788,A1789)+1,"")</f>
        <v/>
      </c>
      <c r="C1789" s="50"/>
      <c r="D1789" s="50"/>
      <c r="E1789" s="50"/>
      <c r="F1789" s="50"/>
      <c r="G1789" s="280"/>
      <c r="H1789" s="293"/>
      <c r="I1789" s="292"/>
      <c r="J1789" s="292"/>
      <c r="K1789" s="200"/>
      <c r="L1789" s="200"/>
      <c r="M1789" s="89" t="str">
        <f>IFERROR(VLOOKUP(H1789,Lijsten!$H$1:$I$100,2,0),"")</f>
        <v/>
      </c>
      <c r="N1789" s="89" t="str" cm="1">
        <f t="array" ref="N1789">IFERROR(_xlfn.IFS(AND(LEFT(F1789,6)="Arbeid",RIGHT(F1789,3)&lt;&gt;"IKS"),IFERROR(VLOOKUP($G1789,Tb_KostenTypen[],2,0),"tarief"),RIGHT(F1789,3)="IKS","Uurtarief",LEFT(F1789,6)="Arbeid","Uurtarief",AND(LEFT(F1789,8)="Bijdrage",RIGHT(F1789,15)="(vrijwilligers)"),"Vast tarief"),"")</f>
        <v/>
      </c>
      <c r="O1789" s="90"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0"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1"/>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59"/>
      <c r="Z1789" s="49"/>
      <c r="AA1789" s="37" t="str" cm="1">
        <f t="array" ref="AA1789">IFERROR(IF(INDEX(SubsidieTabel!$Q$1:$T$9,MATCH($F1789,SubsidieTabel!$Q$1:$Q$9,0),IFERROR(MATCH(Methode_Keuze,SubsidieTabel!$Q$1:$T$1,0),2))&lt;&gt;1=TRUE,"ja",""),"")</f>
        <v/>
      </c>
    </row>
    <row r="1790" spans="1:27" ht="15" customHeight="1" x14ac:dyDescent="0.25">
      <c r="A1790" s="85"/>
      <c r="B1790" s="217" t="str">
        <f>IF(A1790&lt;&gt;"",_xlfn.MAXIFS($B$1:B1789,$A$1:A1789,A1790)+1,"")</f>
        <v/>
      </c>
      <c r="C1790" s="50"/>
      <c r="D1790" s="50"/>
      <c r="E1790" s="50"/>
      <c r="F1790" s="50"/>
      <c r="G1790" s="280"/>
      <c r="H1790" s="293"/>
      <c r="I1790" s="292"/>
      <c r="J1790" s="292"/>
      <c r="K1790" s="200"/>
      <c r="L1790" s="200"/>
      <c r="M1790" s="89" t="str">
        <f>IFERROR(VLOOKUP(H1790,Lijsten!$H$1:$I$100,2,0),"")</f>
        <v/>
      </c>
      <c r="N1790" s="89" t="str" cm="1">
        <f t="array" ref="N1790">IFERROR(_xlfn.IFS(AND(LEFT(F1790,6)="Arbeid",RIGHT(F1790,3)&lt;&gt;"IKS"),IFERROR(VLOOKUP($G1790,Tb_KostenTypen[],2,0),"tarief"),RIGHT(F1790,3)="IKS","Uurtarief",LEFT(F1790,6)="Arbeid","Uurtarief",AND(LEFT(F1790,8)="Bijdrage",RIGHT(F1790,15)="(vrijwilligers)"),"Vast tarief"),"")</f>
        <v/>
      </c>
      <c r="O1790" s="90"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0"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1"/>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59"/>
      <c r="Z1790" s="49"/>
      <c r="AA1790" s="37" t="str" cm="1">
        <f t="array" ref="AA1790">IFERROR(IF(INDEX(SubsidieTabel!$Q$1:$T$9,MATCH($F1790,SubsidieTabel!$Q$1:$Q$9,0),IFERROR(MATCH(Methode_Keuze,SubsidieTabel!$Q$1:$T$1,0),2))&lt;&gt;1=TRUE,"ja",""),"")</f>
        <v/>
      </c>
    </row>
    <row r="1791" spans="1:27" ht="15" customHeight="1" x14ac:dyDescent="0.25">
      <c r="A1791" s="85"/>
      <c r="B1791" s="217" t="str">
        <f>IF(A1791&lt;&gt;"",_xlfn.MAXIFS($B$1:B1790,$A$1:A1790,A1791)+1,"")</f>
        <v/>
      </c>
      <c r="C1791" s="50"/>
      <c r="D1791" s="50"/>
      <c r="E1791" s="50"/>
      <c r="F1791" s="50"/>
      <c r="G1791" s="280"/>
      <c r="H1791" s="293"/>
      <c r="I1791" s="292"/>
      <c r="J1791" s="292"/>
      <c r="K1791" s="200"/>
      <c r="L1791" s="200"/>
      <c r="M1791" s="89" t="str">
        <f>IFERROR(VLOOKUP(H1791,Lijsten!$H$1:$I$100,2,0),"")</f>
        <v/>
      </c>
      <c r="N1791" s="89" t="str" cm="1">
        <f t="array" ref="N1791">IFERROR(_xlfn.IFS(AND(LEFT(F1791,6)="Arbeid",RIGHT(F1791,3)&lt;&gt;"IKS"),IFERROR(VLOOKUP($G1791,Tb_KostenTypen[],2,0),"tarief"),RIGHT(F1791,3)="IKS","Uurtarief",LEFT(F1791,6)="Arbeid","Uurtarief",AND(LEFT(F1791,8)="Bijdrage",RIGHT(F1791,15)="(vrijwilligers)"),"Vast tarief"),"")</f>
        <v/>
      </c>
      <c r="O1791" s="90"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0"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1"/>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59"/>
      <c r="Z1791" s="49"/>
      <c r="AA1791" s="37" t="str" cm="1">
        <f t="array" ref="AA1791">IFERROR(IF(INDEX(SubsidieTabel!$Q$1:$T$9,MATCH($F1791,SubsidieTabel!$Q$1:$Q$9,0),IFERROR(MATCH(Methode_Keuze,SubsidieTabel!$Q$1:$T$1,0),2))&lt;&gt;1=TRUE,"ja",""),"")</f>
        <v/>
      </c>
    </row>
    <row r="1792" spans="1:27" ht="15" customHeight="1" x14ac:dyDescent="0.25">
      <c r="A1792" s="85"/>
      <c r="B1792" s="217" t="str">
        <f>IF(A1792&lt;&gt;"",_xlfn.MAXIFS($B$1:B1791,$A$1:A1791,A1792)+1,"")</f>
        <v/>
      </c>
      <c r="C1792" s="50"/>
      <c r="D1792" s="50"/>
      <c r="E1792" s="50"/>
      <c r="F1792" s="50"/>
      <c r="G1792" s="280"/>
      <c r="H1792" s="293"/>
      <c r="I1792" s="292"/>
      <c r="J1792" s="292"/>
      <c r="K1792" s="200"/>
      <c r="L1792" s="200"/>
      <c r="M1792" s="89" t="str">
        <f>IFERROR(VLOOKUP(H1792,Lijsten!$H$1:$I$100,2,0),"")</f>
        <v/>
      </c>
      <c r="N1792" s="89" t="str" cm="1">
        <f t="array" ref="N1792">IFERROR(_xlfn.IFS(AND(LEFT(F1792,6)="Arbeid",RIGHT(F1792,3)&lt;&gt;"IKS"),IFERROR(VLOOKUP($G1792,Tb_KostenTypen[],2,0),"tarief"),RIGHT(F1792,3)="IKS","Uurtarief",LEFT(F1792,6)="Arbeid","Uurtarief",AND(LEFT(F1792,8)="Bijdrage",RIGHT(F1792,15)="(vrijwilligers)"),"Vast tarief"),"")</f>
        <v/>
      </c>
      <c r="O1792" s="90"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0"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1"/>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59"/>
      <c r="Z1792" s="49"/>
      <c r="AA1792" s="37" t="str" cm="1">
        <f t="array" ref="AA1792">IFERROR(IF(INDEX(SubsidieTabel!$Q$1:$T$9,MATCH($F1792,SubsidieTabel!$Q$1:$Q$9,0),IFERROR(MATCH(Methode_Keuze,SubsidieTabel!$Q$1:$T$1,0),2))&lt;&gt;1=TRUE,"ja",""),"")</f>
        <v/>
      </c>
    </row>
    <row r="1793" spans="1:27" ht="15" customHeight="1" x14ac:dyDescent="0.25">
      <c r="A1793" s="85"/>
      <c r="B1793" s="217" t="str">
        <f>IF(A1793&lt;&gt;"",_xlfn.MAXIFS($B$1:B1792,$A$1:A1792,A1793)+1,"")</f>
        <v/>
      </c>
      <c r="C1793" s="50"/>
      <c r="D1793" s="50"/>
      <c r="E1793" s="50"/>
      <c r="F1793" s="50"/>
      <c r="G1793" s="280"/>
      <c r="H1793" s="293"/>
      <c r="I1793" s="292"/>
      <c r="J1793" s="292"/>
      <c r="K1793" s="200"/>
      <c r="L1793" s="200"/>
      <c r="M1793" s="89" t="str">
        <f>IFERROR(VLOOKUP(H1793,Lijsten!$H$1:$I$100,2,0),"")</f>
        <v/>
      </c>
      <c r="N1793" s="89" t="str" cm="1">
        <f t="array" ref="N1793">IFERROR(_xlfn.IFS(AND(LEFT(F1793,6)="Arbeid",RIGHT(F1793,3)&lt;&gt;"IKS"),IFERROR(VLOOKUP($G1793,Tb_KostenTypen[],2,0),"tarief"),RIGHT(F1793,3)="IKS","Uurtarief",LEFT(F1793,6)="Arbeid","Uurtarief",AND(LEFT(F1793,8)="Bijdrage",RIGHT(F1793,15)="(vrijwilligers)"),"Vast tarief"),"")</f>
        <v/>
      </c>
      <c r="O1793" s="90"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0"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1"/>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59"/>
      <c r="Z1793" s="49"/>
      <c r="AA1793" s="37" t="str" cm="1">
        <f t="array" ref="AA1793">IFERROR(IF(INDEX(SubsidieTabel!$Q$1:$T$9,MATCH($F1793,SubsidieTabel!$Q$1:$Q$9,0),IFERROR(MATCH(Methode_Keuze,SubsidieTabel!$Q$1:$T$1,0),2))&lt;&gt;1=TRUE,"ja",""),"")</f>
        <v/>
      </c>
    </row>
    <row r="1794" spans="1:27" ht="15" customHeight="1" x14ac:dyDescent="0.25">
      <c r="A1794" s="85"/>
      <c r="B1794" s="217" t="str">
        <f>IF(A1794&lt;&gt;"",_xlfn.MAXIFS($B$1:B1793,$A$1:A1793,A1794)+1,"")</f>
        <v/>
      </c>
      <c r="C1794" s="50"/>
      <c r="D1794" s="50"/>
      <c r="E1794" s="50"/>
      <c r="F1794" s="50"/>
      <c r="G1794" s="280"/>
      <c r="H1794" s="293"/>
      <c r="I1794" s="292"/>
      <c r="J1794" s="292"/>
      <c r="K1794" s="200"/>
      <c r="L1794" s="200"/>
      <c r="M1794" s="89" t="str">
        <f>IFERROR(VLOOKUP(H1794,Lijsten!$H$1:$I$100,2,0),"")</f>
        <v/>
      </c>
      <c r="N1794" s="89" t="str" cm="1">
        <f t="array" ref="N1794">IFERROR(_xlfn.IFS(AND(LEFT(F1794,6)="Arbeid",RIGHT(F1794,3)&lt;&gt;"IKS"),IFERROR(VLOOKUP($G1794,Tb_KostenTypen[],2,0),"tarief"),RIGHT(F1794,3)="IKS","Uurtarief",LEFT(F1794,6)="Arbeid","Uurtarief",AND(LEFT(F1794,8)="Bijdrage",RIGHT(F1794,15)="(vrijwilligers)"),"Vast tarief"),"")</f>
        <v/>
      </c>
      <c r="O1794" s="90"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0"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1"/>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59"/>
      <c r="Z1794" s="49"/>
      <c r="AA1794" s="37" t="str" cm="1">
        <f t="array" ref="AA1794">IFERROR(IF(INDEX(SubsidieTabel!$Q$1:$T$9,MATCH($F1794,SubsidieTabel!$Q$1:$Q$9,0),IFERROR(MATCH(Methode_Keuze,SubsidieTabel!$Q$1:$T$1,0),2))&lt;&gt;1=TRUE,"ja",""),"")</f>
        <v/>
      </c>
    </row>
    <row r="1795" spans="1:27" ht="15" customHeight="1" x14ac:dyDescent="0.25">
      <c r="A1795" s="85"/>
      <c r="B1795" s="217" t="str">
        <f>IF(A1795&lt;&gt;"",_xlfn.MAXIFS($B$1:B1794,$A$1:A1794,A1795)+1,"")</f>
        <v/>
      </c>
      <c r="C1795" s="50"/>
      <c r="D1795" s="50"/>
      <c r="E1795" s="50"/>
      <c r="F1795" s="50"/>
      <c r="G1795" s="280"/>
      <c r="H1795" s="293"/>
      <c r="I1795" s="292"/>
      <c r="J1795" s="292"/>
      <c r="K1795" s="200"/>
      <c r="L1795" s="200"/>
      <c r="M1795" s="89" t="str">
        <f>IFERROR(VLOOKUP(H1795,Lijsten!$H$1:$I$100,2,0),"")</f>
        <v/>
      </c>
      <c r="N1795" s="89" t="str" cm="1">
        <f t="array" ref="N1795">IFERROR(_xlfn.IFS(AND(LEFT(F1795,6)="Arbeid",RIGHT(F1795,3)&lt;&gt;"IKS"),IFERROR(VLOOKUP($G1795,Tb_KostenTypen[],2,0),"tarief"),RIGHT(F1795,3)="IKS","Uurtarief",LEFT(F1795,6)="Arbeid","Uurtarief",AND(LEFT(F1795,8)="Bijdrage",RIGHT(F1795,15)="(vrijwilligers)"),"Vast tarief"),"")</f>
        <v/>
      </c>
      <c r="O1795" s="90"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0"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1"/>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59"/>
      <c r="Z1795" s="49"/>
      <c r="AA1795" s="37" t="str" cm="1">
        <f t="array" ref="AA1795">IFERROR(IF(INDEX(SubsidieTabel!$Q$1:$T$9,MATCH($F1795,SubsidieTabel!$Q$1:$Q$9,0),IFERROR(MATCH(Methode_Keuze,SubsidieTabel!$Q$1:$T$1,0),2))&lt;&gt;1=TRUE,"ja",""),"")</f>
        <v/>
      </c>
    </row>
    <row r="1796" spans="1:27" ht="15" customHeight="1" x14ac:dyDescent="0.25">
      <c r="A1796" s="85"/>
      <c r="B1796" s="217" t="str">
        <f>IF(A1796&lt;&gt;"",_xlfn.MAXIFS($B$1:B1795,$A$1:A1795,A1796)+1,"")</f>
        <v/>
      </c>
      <c r="C1796" s="50"/>
      <c r="D1796" s="50"/>
      <c r="E1796" s="50"/>
      <c r="F1796" s="50"/>
      <c r="G1796" s="280"/>
      <c r="H1796" s="293"/>
      <c r="I1796" s="292"/>
      <c r="J1796" s="292"/>
      <c r="K1796" s="200"/>
      <c r="L1796" s="200"/>
      <c r="M1796" s="89" t="str">
        <f>IFERROR(VLOOKUP(H1796,Lijsten!$H$1:$I$100,2,0),"")</f>
        <v/>
      </c>
      <c r="N1796" s="89" t="str" cm="1">
        <f t="array" ref="N1796">IFERROR(_xlfn.IFS(AND(LEFT(F1796,6)="Arbeid",RIGHT(F1796,3)&lt;&gt;"IKS"),IFERROR(VLOOKUP($G1796,Tb_KostenTypen[],2,0),"tarief"),RIGHT(F1796,3)="IKS","Uurtarief",LEFT(F1796,6)="Arbeid","Uurtarief",AND(LEFT(F1796,8)="Bijdrage",RIGHT(F1796,15)="(vrijwilligers)"),"Vast tarief"),"")</f>
        <v/>
      </c>
      <c r="O1796" s="90"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0"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1"/>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59"/>
      <c r="Z1796" s="49"/>
      <c r="AA1796" s="37" t="str" cm="1">
        <f t="array" ref="AA1796">IFERROR(IF(INDEX(SubsidieTabel!$Q$1:$T$9,MATCH($F1796,SubsidieTabel!$Q$1:$Q$9,0),IFERROR(MATCH(Methode_Keuze,SubsidieTabel!$Q$1:$T$1,0),2))&lt;&gt;1=TRUE,"ja",""),"")</f>
        <v/>
      </c>
    </row>
    <row r="1797" spans="1:27" ht="15" customHeight="1" x14ac:dyDescent="0.25">
      <c r="A1797" s="85"/>
      <c r="B1797" s="217" t="str">
        <f>IF(A1797&lt;&gt;"",_xlfn.MAXIFS($B$1:B1796,$A$1:A1796,A1797)+1,"")</f>
        <v/>
      </c>
      <c r="C1797" s="50"/>
      <c r="D1797" s="50"/>
      <c r="E1797" s="50"/>
      <c r="F1797" s="50"/>
      <c r="G1797" s="280"/>
      <c r="H1797" s="293"/>
      <c r="I1797" s="292"/>
      <c r="J1797" s="292"/>
      <c r="K1797" s="200"/>
      <c r="L1797" s="200"/>
      <c r="M1797" s="89" t="str">
        <f>IFERROR(VLOOKUP(H1797,Lijsten!$H$1:$I$100,2,0),"")</f>
        <v/>
      </c>
      <c r="N1797" s="89" t="str" cm="1">
        <f t="array" ref="N1797">IFERROR(_xlfn.IFS(AND(LEFT(F1797,6)="Arbeid",RIGHT(F1797,3)&lt;&gt;"IKS"),IFERROR(VLOOKUP($G1797,Tb_KostenTypen[],2,0),"tarief"),RIGHT(F1797,3)="IKS","Uurtarief",LEFT(F1797,6)="Arbeid","Uurtarief",AND(LEFT(F1797,8)="Bijdrage",RIGHT(F1797,15)="(vrijwilligers)"),"Vast tarief"),"")</f>
        <v/>
      </c>
      <c r="O1797" s="90"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0"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1"/>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59"/>
      <c r="Z1797" s="49"/>
      <c r="AA1797" s="37" t="str" cm="1">
        <f t="array" ref="AA1797">IFERROR(IF(INDEX(SubsidieTabel!$Q$1:$T$9,MATCH($F1797,SubsidieTabel!$Q$1:$Q$9,0),IFERROR(MATCH(Methode_Keuze,SubsidieTabel!$Q$1:$T$1,0),2))&lt;&gt;1=TRUE,"ja",""),"")</f>
        <v/>
      </c>
    </row>
    <row r="1798" spans="1:27" ht="15" customHeight="1" x14ac:dyDescent="0.25">
      <c r="A1798" s="85"/>
      <c r="B1798" s="217" t="str">
        <f>IF(A1798&lt;&gt;"",_xlfn.MAXIFS($B$1:B1797,$A$1:A1797,A1798)+1,"")</f>
        <v/>
      </c>
      <c r="C1798" s="50"/>
      <c r="D1798" s="50"/>
      <c r="E1798" s="50"/>
      <c r="F1798" s="50"/>
      <c r="G1798" s="280"/>
      <c r="H1798" s="293"/>
      <c r="I1798" s="292"/>
      <c r="J1798" s="292"/>
      <c r="K1798" s="200"/>
      <c r="L1798" s="200"/>
      <c r="M1798" s="89" t="str">
        <f>IFERROR(VLOOKUP(H1798,Lijsten!$H$1:$I$100,2,0),"")</f>
        <v/>
      </c>
      <c r="N1798" s="89" t="str" cm="1">
        <f t="array" ref="N1798">IFERROR(_xlfn.IFS(AND(LEFT(F1798,6)="Arbeid",RIGHT(F1798,3)&lt;&gt;"IKS"),IFERROR(VLOOKUP($G1798,Tb_KostenTypen[],2,0),"tarief"),RIGHT(F1798,3)="IKS","Uurtarief",LEFT(F1798,6)="Arbeid","Uurtarief",AND(LEFT(F1798,8)="Bijdrage",RIGHT(F1798,15)="(vrijwilligers)"),"Vast tarief"),"")</f>
        <v/>
      </c>
      <c r="O1798" s="90"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0"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1"/>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59"/>
      <c r="Z1798" s="49"/>
      <c r="AA1798" s="37" t="str" cm="1">
        <f t="array" ref="AA1798">IFERROR(IF(INDEX(SubsidieTabel!$Q$1:$T$9,MATCH($F1798,SubsidieTabel!$Q$1:$Q$9,0),IFERROR(MATCH(Methode_Keuze,SubsidieTabel!$Q$1:$T$1,0),2))&lt;&gt;1=TRUE,"ja",""),"")</f>
        <v/>
      </c>
    </row>
    <row r="1799" spans="1:27" ht="15" customHeight="1" x14ac:dyDescent="0.25">
      <c r="A1799" s="85"/>
      <c r="B1799" s="217" t="str">
        <f>IF(A1799&lt;&gt;"",_xlfn.MAXIFS($B$1:B1798,$A$1:A1798,A1799)+1,"")</f>
        <v/>
      </c>
      <c r="C1799" s="50"/>
      <c r="D1799" s="50"/>
      <c r="E1799" s="50"/>
      <c r="F1799" s="50"/>
      <c r="G1799" s="280"/>
      <c r="H1799" s="293"/>
      <c r="I1799" s="292"/>
      <c r="J1799" s="292"/>
      <c r="K1799" s="200"/>
      <c r="L1799" s="200"/>
      <c r="M1799" s="89" t="str">
        <f>IFERROR(VLOOKUP(H1799,Lijsten!$H$1:$I$100,2,0),"")</f>
        <v/>
      </c>
      <c r="N1799" s="89" t="str" cm="1">
        <f t="array" ref="N1799">IFERROR(_xlfn.IFS(AND(LEFT(F1799,6)="Arbeid",RIGHT(F1799,3)&lt;&gt;"IKS"),IFERROR(VLOOKUP($G1799,Tb_KostenTypen[],2,0),"tarief"),RIGHT(F1799,3)="IKS","Uurtarief",LEFT(F1799,6)="Arbeid","Uurtarief",AND(LEFT(F1799,8)="Bijdrage",RIGHT(F1799,15)="(vrijwilligers)"),"Vast tarief"),"")</f>
        <v/>
      </c>
      <c r="O1799" s="90"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0"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1"/>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59"/>
      <c r="Z1799" s="49"/>
      <c r="AA1799" s="37" t="str" cm="1">
        <f t="array" ref="AA1799">IFERROR(IF(INDEX(SubsidieTabel!$Q$1:$T$9,MATCH($F1799,SubsidieTabel!$Q$1:$Q$9,0),IFERROR(MATCH(Methode_Keuze,SubsidieTabel!$Q$1:$T$1,0),2))&lt;&gt;1=TRUE,"ja",""),"")</f>
        <v/>
      </c>
    </row>
    <row r="1800" spans="1:27" ht="15" customHeight="1" x14ac:dyDescent="0.25">
      <c r="A1800" s="85"/>
      <c r="B1800" s="217" t="str">
        <f>IF(A1800&lt;&gt;"",_xlfn.MAXIFS($B$1:B1799,$A$1:A1799,A1800)+1,"")</f>
        <v/>
      </c>
      <c r="C1800" s="50"/>
      <c r="D1800" s="50"/>
      <c r="E1800" s="50"/>
      <c r="F1800" s="50"/>
      <c r="G1800" s="280"/>
      <c r="H1800" s="293"/>
      <c r="I1800" s="292"/>
      <c r="J1800" s="292"/>
      <c r="K1800" s="200"/>
      <c r="L1800" s="200"/>
      <c r="M1800" s="89" t="str">
        <f>IFERROR(VLOOKUP(H1800,Lijsten!$H$1:$I$100,2,0),"")</f>
        <v/>
      </c>
      <c r="N1800" s="89" t="str" cm="1">
        <f t="array" ref="N1800">IFERROR(_xlfn.IFS(AND(LEFT(F1800,6)="Arbeid",RIGHT(F1800,3)&lt;&gt;"IKS"),IFERROR(VLOOKUP($G1800,Tb_KostenTypen[],2,0),"tarief"),RIGHT(F1800,3)="IKS","Uurtarief",LEFT(F1800,6)="Arbeid","Uurtarief",AND(LEFT(F1800,8)="Bijdrage",RIGHT(F1800,15)="(vrijwilligers)"),"Vast tarief"),"")</f>
        <v/>
      </c>
      <c r="O1800" s="90"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0"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1"/>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59"/>
      <c r="Z1800" s="49"/>
      <c r="AA1800" s="37" t="str" cm="1">
        <f t="array" ref="AA1800">IFERROR(IF(INDEX(SubsidieTabel!$Q$1:$T$9,MATCH($F1800,SubsidieTabel!$Q$1:$Q$9,0),IFERROR(MATCH(Methode_Keuze,SubsidieTabel!$Q$1:$T$1,0),2))&lt;&gt;1=TRUE,"ja",""),"")</f>
        <v/>
      </c>
    </row>
    <row r="1801" spans="1:27" ht="15" customHeight="1" x14ac:dyDescent="0.25">
      <c r="A1801" s="85"/>
      <c r="B1801" s="217" t="str">
        <f>IF(A1801&lt;&gt;"",_xlfn.MAXIFS($B$1:B1800,$A$1:A1800,A1801)+1,"")</f>
        <v/>
      </c>
      <c r="C1801" s="50"/>
      <c r="D1801" s="50"/>
      <c r="E1801" s="50"/>
      <c r="F1801" s="50"/>
      <c r="G1801" s="280"/>
      <c r="H1801" s="293"/>
      <c r="I1801" s="292"/>
      <c r="J1801" s="292"/>
      <c r="K1801" s="200"/>
      <c r="L1801" s="200"/>
      <c r="M1801" s="89" t="str">
        <f>IFERROR(VLOOKUP(H1801,Lijsten!$H$1:$I$100,2,0),"")</f>
        <v/>
      </c>
      <c r="N1801" s="89" t="str" cm="1">
        <f t="array" ref="N1801">IFERROR(_xlfn.IFS(AND(LEFT(F1801,6)="Arbeid",RIGHT(F1801,3)&lt;&gt;"IKS"),IFERROR(VLOOKUP($G1801,Tb_KostenTypen[],2,0),"tarief"),RIGHT(F1801,3)="IKS","Uurtarief",LEFT(F1801,6)="Arbeid","Uurtarief",AND(LEFT(F1801,8)="Bijdrage",RIGHT(F1801,15)="(vrijwilligers)"),"Vast tarief"),"")</f>
        <v/>
      </c>
      <c r="O1801" s="90"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0"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1"/>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59"/>
      <c r="Z1801" s="49"/>
      <c r="AA1801" s="37" t="str" cm="1">
        <f t="array" ref="AA1801">IFERROR(IF(INDEX(SubsidieTabel!$Q$1:$T$9,MATCH($F1801,SubsidieTabel!$Q$1:$Q$9,0),IFERROR(MATCH(Methode_Keuze,SubsidieTabel!$Q$1:$T$1,0),2))&lt;&gt;1=TRUE,"ja",""),"")</f>
        <v/>
      </c>
    </row>
    <row r="1802" spans="1:27" ht="15" customHeight="1" x14ac:dyDescent="0.25">
      <c r="A1802" s="85"/>
      <c r="B1802" s="217" t="str">
        <f>IF(A1802&lt;&gt;"",_xlfn.MAXIFS($B$1:B1801,$A$1:A1801,A1802)+1,"")</f>
        <v/>
      </c>
      <c r="C1802" s="50"/>
      <c r="D1802" s="50"/>
      <c r="E1802" s="50"/>
      <c r="F1802" s="50"/>
      <c r="G1802" s="280"/>
      <c r="H1802" s="293"/>
      <c r="I1802" s="292"/>
      <c r="J1802" s="292"/>
      <c r="K1802" s="200"/>
      <c r="L1802" s="200"/>
      <c r="M1802" s="89" t="str">
        <f>IFERROR(VLOOKUP(H1802,Lijsten!$H$1:$I$100,2,0),"")</f>
        <v/>
      </c>
      <c r="N1802" s="89" t="str" cm="1">
        <f t="array" ref="N1802">IFERROR(_xlfn.IFS(AND(LEFT(F1802,6)="Arbeid",RIGHT(F1802,3)&lt;&gt;"IKS"),IFERROR(VLOOKUP($G1802,Tb_KostenTypen[],2,0),"tarief"),RIGHT(F1802,3)="IKS","Uurtarief",LEFT(F1802,6)="Arbeid","Uurtarief",AND(LEFT(F1802,8)="Bijdrage",RIGHT(F1802,15)="(vrijwilligers)"),"Vast tarief"),"")</f>
        <v/>
      </c>
      <c r="O1802" s="90"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0"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1"/>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59"/>
      <c r="Z1802" s="49"/>
      <c r="AA1802" s="37" t="str" cm="1">
        <f t="array" ref="AA1802">IFERROR(IF(INDEX(SubsidieTabel!$Q$1:$T$9,MATCH($F1802,SubsidieTabel!$Q$1:$Q$9,0),IFERROR(MATCH(Methode_Keuze,SubsidieTabel!$Q$1:$T$1,0),2))&lt;&gt;1=TRUE,"ja",""),"")</f>
        <v/>
      </c>
    </row>
    <row r="1803" spans="1:27" ht="15" customHeight="1" x14ac:dyDescent="0.25">
      <c r="A1803" s="85"/>
      <c r="B1803" s="217" t="str">
        <f>IF(A1803&lt;&gt;"",_xlfn.MAXIFS($B$1:B1802,$A$1:A1802,A1803)+1,"")</f>
        <v/>
      </c>
      <c r="C1803" s="50"/>
      <c r="D1803" s="50"/>
      <c r="E1803" s="50"/>
      <c r="F1803" s="50"/>
      <c r="G1803" s="280"/>
      <c r="H1803" s="293"/>
      <c r="I1803" s="292"/>
      <c r="J1803" s="292"/>
      <c r="K1803" s="200"/>
      <c r="L1803" s="200"/>
      <c r="M1803" s="89" t="str">
        <f>IFERROR(VLOOKUP(H1803,Lijsten!$H$1:$I$100,2,0),"")</f>
        <v/>
      </c>
      <c r="N1803" s="89" t="str" cm="1">
        <f t="array" ref="N1803">IFERROR(_xlfn.IFS(AND(LEFT(F1803,6)="Arbeid",RIGHT(F1803,3)&lt;&gt;"IKS"),IFERROR(VLOOKUP($G1803,Tb_KostenTypen[],2,0),"tarief"),RIGHT(F1803,3)="IKS","Uurtarief",LEFT(F1803,6)="Arbeid","Uurtarief",AND(LEFT(F1803,8)="Bijdrage",RIGHT(F1803,15)="(vrijwilligers)"),"Vast tarief"),"")</f>
        <v/>
      </c>
      <c r="O1803" s="90"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0"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1"/>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59"/>
      <c r="Z1803" s="49"/>
      <c r="AA1803" s="37" t="str" cm="1">
        <f t="array" ref="AA1803">IFERROR(IF(INDEX(SubsidieTabel!$Q$1:$T$9,MATCH($F1803,SubsidieTabel!$Q$1:$Q$9,0),IFERROR(MATCH(Methode_Keuze,SubsidieTabel!$Q$1:$T$1,0),2))&lt;&gt;1=TRUE,"ja",""),"")</f>
        <v/>
      </c>
    </row>
    <row r="1804" spans="1:27" ht="15" customHeight="1" x14ac:dyDescent="0.25">
      <c r="A1804" s="85"/>
      <c r="B1804" s="217" t="str">
        <f>IF(A1804&lt;&gt;"",_xlfn.MAXIFS($B$1:B1803,$A$1:A1803,A1804)+1,"")</f>
        <v/>
      </c>
      <c r="C1804" s="50"/>
      <c r="D1804" s="50"/>
      <c r="E1804" s="50"/>
      <c r="F1804" s="50"/>
      <c r="G1804" s="280"/>
      <c r="H1804" s="293"/>
      <c r="I1804" s="292"/>
      <c r="J1804" s="292"/>
      <c r="K1804" s="200"/>
      <c r="L1804" s="200"/>
      <c r="M1804" s="89" t="str">
        <f>IFERROR(VLOOKUP(H1804,Lijsten!$H$1:$I$100,2,0),"")</f>
        <v/>
      </c>
      <c r="N1804" s="89" t="str" cm="1">
        <f t="array" ref="N1804">IFERROR(_xlfn.IFS(AND(LEFT(F1804,6)="Arbeid",RIGHT(F1804,3)&lt;&gt;"IKS"),IFERROR(VLOOKUP($G1804,Tb_KostenTypen[],2,0),"tarief"),RIGHT(F1804,3)="IKS","Uurtarief",LEFT(F1804,6)="Arbeid","Uurtarief",AND(LEFT(F1804,8)="Bijdrage",RIGHT(F1804,15)="(vrijwilligers)"),"Vast tarief"),"")</f>
        <v/>
      </c>
      <c r="O1804" s="90"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0"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1"/>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59"/>
      <c r="Z1804" s="49"/>
      <c r="AA1804" s="37" t="str" cm="1">
        <f t="array" ref="AA1804">IFERROR(IF(INDEX(SubsidieTabel!$Q$1:$T$9,MATCH($F1804,SubsidieTabel!$Q$1:$Q$9,0),IFERROR(MATCH(Methode_Keuze,SubsidieTabel!$Q$1:$T$1,0),2))&lt;&gt;1=TRUE,"ja",""),"")</f>
        <v/>
      </c>
    </row>
    <row r="1805" spans="1:27" ht="15" customHeight="1" x14ac:dyDescent="0.25">
      <c r="A1805" s="85"/>
      <c r="B1805" s="217" t="str">
        <f>IF(A1805&lt;&gt;"",_xlfn.MAXIFS($B$1:B1804,$A$1:A1804,A1805)+1,"")</f>
        <v/>
      </c>
      <c r="C1805" s="50"/>
      <c r="D1805" s="50"/>
      <c r="E1805" s="50"/>
      <c r="F1805" s="50"/>
      <c r="G1805" s="280"/>
      <c r="H1805" s="293"/>
      <c r="I1805" s="292"/>
      <c r="J1805" s="292"/>
      <c r="K1805" s="200"/>
      <c r="L1805" s="200"/>
      <c r="M1805" s="89" t="str">
        <f>IFERROR(VLOOKUP(H1805,Lijsten!$H$1:$I$100,2,0),"")</f>
        <v/>
      </c>
      <c r="N1805" s="89" t="str" cm="1">
        <f t="array" ref="N1805">IFERROR(_xlfn.IFS(AND(LEFT(F1805,6)="Arbeid",RIGHT(F1805,3)&lt;&gt;"IKS"),IFERROR(VLOOKUP($G1805,Tb_KostenTypen[],2,0),"tarief"),RIGHT(F1805,3)="IKS","Uurtarief",LEFT(F1805,6)="Arbeid","Uurtarief",AND(LEFT(F1805,8)="Bijdrage",RIGHT(F1805,15)="(vrijwilligers)"),"Vast tarief"),"")</f>
        <v/>
      </c>
      <c r="O1805" s="90"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0"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1"/>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59"/>
      <c r="Z1805" s="49"/>
      <c r="AA1805" s="37" t="str" cm="1">
        <f t="array" ref="AA1805">IFERROR(IF(INDEX(SubsidieTabel!$Q$1:$T$9,MATCH($F1805,SubsidieTabel!$Q$1:$Q$9,0),IFERROR(MATCH(Methode_Keuze,SubsidieTabel!$Q$1:$T$1,0),2))&lt;&gt;1=TRUE,"ja",""),"")</f>
        <v/>
      </c>
    </row>
    <row r="1806" spans="1:27" ht="15" customHeight="1" x14ac:dyDescent="0.25">
      <c r="A1806" s="85"/>
      <c r="B1806" s="217" t="str">
        <f>IF(A1806&lt;&gt;"",_xlfn.MAXIFS($B$1:B1805,$A$1:A1805,A1806)+1,"")</f>
        <v/>
      </c>
      <c r="C1806" s="50"/>
      <c r="D1806" s="50"/>
      <c r="E1806" s="50"/>
      <c r="F1806" s="50"/>
      <c r="G1806" s="280"/>
      <c r="H1806" s="293"/>
      <c r="I1806" s="292"/>
      <c r="J1806" s="292"/>
      <c r="K1806" s="200"/>
      <c r="L1806" s="200"/>
      <c r="M1806" s="89" t="str">
        <f>IFERROR(VLOOKUP(H1806,Lijsten!$H$1:$I$100,2,0),"")</f>
        <v/>
      </c>
      <c r="N1806" s="89" t="str" cm="1">
        <f t="array" ref="N1806">IFERROR(_xlfn.IFS(AND(LEFT(F1806,6)="Arbeid",RIGHT(F1806,3)&lt;&gt;"IKS"),IFERROR(VLOOKUP($G1806,Tb_KostenTypen[],2,0),"tarief"),RIGHT(F1806,3)="IKS","Uurtarief",LEFT(F1806,6)="Arbeid","Uurtarief",AND(LEFT(F1806,8)="Bijdrage",RIGHT(F1806,15)="(vrijwilligers)"),"Vast tarief"),"")</f>
        <v/>
      </c>
      <c r="O1806" s="90"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0"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1"/>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59"/>
      <c r="Z1806" s="49"/>
      <c r="AA1806" s="37" t="str" cm="1">
        <f t="array" ref="AA1806">IFERROR(IF(INDEX(SubsidieTabel!$Q$1:$T$9,MATCH($F1806,SubsidieTabel!$Q$1:$Q$9,0),IFERROR(MATCH(Methode_Keuze,SubsidieTabel!$Q$1:$T$1,0),2))&lt;&gt;1=TRUE,"ja",""),"")</f>
        <v/>
      </c>
    </row>
    <row r="1807" spans="1:27" ht="15" customHeight="1" x14ac:dyDescent="0.25">
      <c r="A1807" s="85"/>
      <c r="B1807" s="217" t="str">
        <f>IF(A1807&lt;&gt;"",_xlfn.MAXIFS($B$1:B1806,$A$1:A1806,A1807)+1,"")</f>
        <v/>
      </c>
      <c r="C1807" s="50"/>
      <c r="D1807" s="50"/>
      <c r="E1807" s="50"/>
      <c r="F1807" s="50"/>
      <c r="G1807" s="280"/>
      <c r="H1807" s="293"/>
      <c r="I1807" s="292"/>
      <c r="J1807" s="292"/>
      <c r="K1807" s="200"/>
      <c r="L1807" s="200"/>
      <c r="M1807" s="89" t="str">
        <f>IFERROR(VLOOKUP(H1807,Lijsten!$H$1:$I$100,2,0),"")</f>
        <v/>
      </c>
      <c r="N1807" s="89" t="str" cm="1">
        <f t="array" ref="N1807">IFERROR(_xlfn.IFS(AND(LEFT(F1807,6)="Arbeid",RIGHT(F1807,3)&lt;&gt;"IKS"),IFERROR(VLOOKUP($G1807,Tb_KostenTypen[],2,0),"tarief"),RIGHT(F1807,3)="IKS","Uurtarief",LEFT(F1807,6)="Arbeid","Uurtarief",AND(LEFT(F1807,8)="Bijdrage",RIGHT(F1807,15)="(vrijwilligers)"),"Vast tarief"),"")</f>
        <v/>
      </c>
      <c r="O1807" s="90"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0"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1"/>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59"/>
      <c r="Z1807" s="49"/>
      <c r="AA1807" s="37" t="str" cm="1">
        <f t="array" ref="AA1807">IFERROR(IF(INDEX(SubsidieTabel!$Q$1:$T$9,MATCH($F1807,SubsidieTabel!$Q$1:$Q$9,0),IFERROR(MATCH(Methode_Keuze,SubsidieTabel!$Q$1:$T$1,0),2))&lt;&gt;1=TRUE,"ja",""),"")</f>
        <v/>
      </c>
    </row>
    <row r="1808" spans="1:27" ht="15" customHeight="1" x14ac:dyDescent="0.25">
      <c r="A1808" s="85"/>
      <c r="B1808" s="217" t="str">
        <f>IF(A1808&lt;&gt;"",_xlfn.MAXIFS($B$1:B1807,$A$1:A1807,A1808)+1,"")</f>
        <v/>
      </c>
      <c r="C1808" s="50"/>
      <c r="D1808" s="50"/>
      <c r="E1808" s="50"/>
      <c r="F1808" s="50"/>
      <c r="G1808" s="280"/>
      <c r="H1808" s="293"/>
      <c r="I1808" s="292"/>
      <c r="J1808" s="292"/>
      <c r="K1808" s="200"/>
      <c r="L1808" s="200"/>
      <c r="M1808" s="89" t="str">
        <f>IFERROR(VLOOKUP(H1808,Lijsten!$H$1:$I$100,2,0),"")</f>
        <v/>
      </c>
      <c r="N1808" s="89" t="str" cm="1">
        <f t="array" ref="N1808">IFERROR(_xlfn.IFS(AND(LEFT(F1808,6)="Arbeid",RIGHT(F1808,3)&lt;&gt;"IKS"),IFERROR(VLOOKUP($G1808,Tb_KostenTypen[],2,0),"tarief"),RIGHT(F1808,3)="IKS","Uurtarief",LEFT(F1808,6)="Arbeid","Uurtarief",AND(LEFT(F1808,8)="Bijdrage",RIGHT(F1808,15)="(vrijwilligers)"),"Vast tarief"),"")</f>
        <v/>
      </c>
      <c r="O1808" s="90"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0"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1"/>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59"/>
      <c r="Z1808" s="49"/>
      <c r="AA1808" s="37" t="str" cm="1">
        <f t="array" ref="AA1808">IFERROR(IF(INDEX(SubsidieTabel!$Q$1:$T$9,MATCH($F1808,SubsidieTabel!$Q$1:$Q$9,0),IFERROR(MATCH(Methode_Keuze,SubsidieTabel!$Q$1:$T$1,0),2))&lt;&gt;1=TRUE,"ja",""),"")</f>
        <v/>
      </c>
    </row>
    <row r="1809" spans="1:27" ht="15" customHeight="1" x14ac:dyDescent="0.25">
      <c r="A1809" s="85"/>
      <c r="B1809" s="217" t="str">
        <f>IF(A1809&lt;&gt;"",_xlfn.MAXIFS($B$1:B1808,$A$1:A1808,A1809)+1,"")</f>
        <v/>
      </c>
      <c r="C1809" s="50"/>
      <c r="D1809" s="50"/>
      <c r="E1809" s="50"/>
      <c r="F1809" s="50"/>
      <c r="G1809" s="280"/>
      <c r="H1809" s="293"/>
      <c r="I1809" s="292"/>
      <c r="J1809" s="292"/>
      <c r="K1809" s="200"/>
      <c r="L1809" s="200"/>
      <c r="M1809" s="89" t="str">
        <f>IFERROR(VLOOKUP(H1809,Lijsten!$H$1:$I$100,2,0),"")</f>
        <v/>
      </c>
      <c r="N1809" s="89" t="str" cm="1">
        <f t="array" ref="N1809">IFERROR(_xlfn.IFS(AND(LEFT(F1809,6)="Arbeid",RIGHT(F1809,3)&lt;&gt;"IKS"),IFERROR(VLOOKUP($G1809,Tb_KostenTypen[],2,0),"tarief"),RIGHT(F1809,3)="IKS","Uurtarief",LEFT(F1809,6)="Arbeid","Uurtarief",AND(LEFT(F1809,8)="Bijdrage",RIGHT(F1809,15)="(vrijwilligers)"),"Vast tarief"),"")</f>
        <v/>
      </c>
      <c r="O1809" s="90"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0"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1"/>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59"/>
      <c r="Z1809" s="49"/>
      <c r="AA1809" s="37" t="str" cm="1">
        <f t="array" ref="AA1809">IFERROR(IF(INDEX(SubsidieTabel!$Q$1:$T$9,MATCH($F1809,SubsidieTabel!$Q$1:$Q$9,0),IFERROR(MATCH(Methode_Keuze,SubsidieTabel!$Q$1:$T$1,0),2))&lt;&gt;1=TRUE,"ja",""),"")</f>
        <v/>
      </c>
    </row>
    <row r="1810" spans="1:27" ht="15" customHeight="1" x14ac:dyDescent="0.25">
      <c r="A1810" s="85"/>
      <c r="B1810" s="217" t="str">
        <f>IF(A1810&lt;&gt;"",_xlfn.MAXIFS($B$1:B1809,$A$1:A1809,A1810)+1,"")</f>
        <v/>
      </c>
      <c r="C1810" s="50"/>
      <c r="D1810" s="50"/>
      <c r="E1810" s="50"/>
      <c r="F1810" s="50"/>
      <c r="G1810" s="280"/>
      <c r="H1810" s="293"/>
      <c r="I1810" s="292"/>
      <c r="J1810" s="292"/>
      <c r="K1810" s="200"/>
      <c r="L1810" s="200"/>
      <c r="M1810" s="89" t="str">
        <f>IFERROR(VLOOKUP(H1810,Lijsten!$H$1:$I$100,2,0),"")</f>
        <v/>
      </c>
      <c r="N1810" s="89" t="str" cm="1">
        <f t="array" ref="N1810">IFERROR(_xlfn.IFS(AND(LEFT(F1810,6)="Arbeid",RIGHT(F1810,3)&lt;&gt;"IKS"),IFERROR(VLOOKUP($G1810,Tb_KostenTypen[],2,0),"tarief"),RIGHT(F1810,3)="IKS","Uurtarief",LEFT(F1810,6)="Arbeid","Uurtarief",AND(LEFT(F1810,8)="Bijdrage",RIGHT(F1810,15)="(vrijwilligers)"),"Vast tarief"),"")</f>
        <v/>
      </c>
      <c r="O1810" s="90"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0"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1"/>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59"/>
      <c r="Z1810" s="49"/>
      <c r="AA1810" s="37" t="str" cm="1">
        <f t="array" ref="AA1810">IFERROR(IF(INDEX(SubsidieTabel!$Q$1:$T$9,MATCH($F1810,SubsidieTabel!$Q$1:$Q$9,0),IFERROR(MATCH(Methode_Keuze,SubsidieTabel!$Q$1:$T$1,0),2))&lt;&gt;1=TRUE,"ja",""),"")</f>
        <v/>
      </c>
    </row>
    <row r="1811" spans="1:27" ht="15" customHeight="1" x14ac:dyDescent="0.25">
      <c r="A1811" s="85"/>
      <c r="B1811" s="217" t="str">
        <f>IF(A1811&lt;&gt;"",_xlfn.MAXIFS($B$1:B1810,$A$1:A1810,A1811)+1,"")</f>
        <v/>
      </c>
      <c r="C1811" s="50"/>
      <c r="D1811" s="50"/>
      <c r="E1811" s="50"/>
      <c r="F1811" s="50"/>
      <c r="G1811" s="280"/>
      <c r="H1811" s="293"/>
      <c r="I1811" s="292"/>
      <c r="J1811" s="292"/>
      <c r="K1811" s="200"/>
      <c r="L1811" s="200"/>
      <c r="M1811" s="89" t="str">
        <f>IFERROR(VLOOKUP(H1811,Lijsten!$H$1:$I$100,2,0),"")</f>
        <v/>
      </c>
      <c r="N1811" s="89" t="str" cm="1">
        <f t="array" ref="N1811">IFERROR(_xlfn.IFS(AND(LEFT(F1811,6)="Arbeid",RIGHT(F1811,3)&lt;&gt;"IKS"),IFERROR(VLOOKUP($G1811,Tb_KostenTypen[],2,0),"tarief"),RIGHT(F1811,3)="IKS","Uurtarief",LEFT(F1811,6)="Arbeid","Uurtarief",AND(LEFT(F1811,8)="Bijdrage",RIGHT(F1811,15)="(vrijwilligers)"),"Vast tarief"),"")</f>
        <v/>
      </c>
      <c r="O1811" s="90"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0"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1"/>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59"/>
      <c r="Z1811" s="49"/>
      <c r="AA1811" s="37" t="str" cm="1">
        <f t="array" ref="AA1811">IFERROR(IF(INDEX(SubsidieTabel!$Q$1:$T$9,MATCH($F1811,SubsidieTabel!$Q$1:$Q$9,0),IFERROR(MATCH(Methode_Keuze,SubsidieTabel!$Q$1:$T$1,0),2))&lt;&gt;1=TRUE,"ja",""),"")</f>
        <v/>
      </c>
    </row>
    <row r="1812" spans="1:27" ht="15" customHeight="1" x14ac:dyDescent="0.25">
      <c r="A1812" s="85"/>
      <c r="B1812" s="217" t="str">
        <f>IF(A1812&lt;&gt;"",_xlfn.MAXIFS($B$1:B1811,$A$1:A1811,A1812)+1,"")</f>
        <v/>
      </c>
      <c r="C1812" s="50"/>
      <c r="D1812" s="50"/>
      <c r="E1812" s="50"/>
      <c r="F1812" s="50"/>
      <c r="G1812" s="280"/>
      <c r="H1812" s="293"/>
      <c r="I1812" s="292"/>
      <c r="J1812" s="292"/>
      <c r="K1812" s="200"/>
      <c r="L1812" s="200"/>
      <c r="M1812" s="89" t="str">
        <f>IFERROR(VLOOKUP(H1812,Lijsten!$H$1:$I$100,2,0),"")</f>
        <v/>
      </c>
      <c r="N1812" s="89" t="str" cm="1">
        <f t="array" ref="N1812">IFERROR(_xlfn.IFS(AND(LEFT(F1812,6)="Arbeid",RIGHT(F1812,3)&lt;&gt;"IKS"),IFERROR(VLOOKUP($G1812,Tb_KostenTypen[],2,0),"tarief"),RIGHT(F1812,3)="IKS","Uurtarief",LEFT(F1812,6)="Arbeid","Uurtarief",AND(LEFT(F1812,8)="Bijdrage",RIGHT(F1812,15)="(vrijwilligers)"),"Vast tarief"),"")</f>
        <v/>
      </c>
      <c r="O1812" s="90"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0"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1"/>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59"/>
      <c r="Z1812" s="49"/>
      <c r="AA1812" s="37" t="str" cm="1">
        <f t="array" ref="AA1812">IFERROR(IF(INDEX(SubsidieTabel!$Q$1:$T$9,MATCH($F1812,SubsidieTabel!$Q$1:$Q$9,0),IFERROR(MATCH(Methode_Keuze,SubsidieTabel!$Q$1:$T$1,0),2))&lt;&gt;1=TRUE,"ja",""),"")</f>
        <v/>
      </c>
    </row>
    <row r="1813" spans="1:27" ht="15" customHeight="1" x14ac:dyDescent="0.25">
      <c r="A1813" s="85"/>
      <c r="B1813" s="217" t="str">
        <f>IF(A1813&lt;&gt;"",_xlfn.MAXIFS($B$1:B1812,$A$1:A1812,A1813)+1,"")</f>
        <v/>
      </c>
      <c r="C1813" s="50"/>
      <c r="D1813" s="50"/>
      <c r="E1813" s="50"/>
      <c r="F1813" s="50"/>
      <c r="G1813" s="280"/>
      <c r="H1813" s="293"/>
      <c r="I1813" s="292"/>
      <c r="J1813" s="292"/>
      <c r="K1813" s="200"/>
      <c r="L1813" s="200"/>
      <c r="M1813" s="89" t="str">
        <f>IFERROR(VLOOKUP(H1813,Lijsten!$H$1:$I$100,2,0),"")</f>
        <v/>
      </c>
      <c r="N1813" s="89" t="str" cm="1">
        <f t="array" ref="N1813">IFERROR(_xlfn.IFS(AND(LEFT(F1813,6)="Arbeid",RIGHT(F1813,3)&lt;&gt;"IKS"),IFERROR(VLOOKUP($G1813,Tb_KostenTypen[],2,0),"tarief"),RIGHT(F1813,3)="IKS","Uurtarief",LEFT(F1813,6)="Arbeid","Uurtarief",AND(LEFT(F1813,8)="Bijdrage",RIGHT(F1813,15)="(vrijwilligers)"),"Vast tarief"),"")</f>
        <v/>
      </c>
      <c r="O1813" s="90"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0"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1"/>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59"/>
      <c r="Z1813" s="49"/>
      <c r="AA1813" s="37" t="str" cm="1">
        <f t="array" ref="AA1813">IFERROR(IF(INDEX(SubsidieTabel!$Q$1:$T$9,MATCH($F1813,SubsidieTabel!$Q$1:$Q$9,0),IFERROR(MATCH(Methode_Keuze,SubsidieTabel!$Q$1:$T$1,0),2))&lt;&gt;1=TRUE,"ja",""),"")</f>
        <v/>
      </c>
    </row>
    <row r="1814" spans="1:27" ht="15" customHeight="1" x14ac:dyDescent="0.25">
      <c r="A1814" s="85"/>
      <c r="B1814" s="217" t="str">
        <f>IF(A1814&lt;&gt;"",_xlfn.MAXIFS($B$1:B1813,$A$1:A1813,A1814)+1,"")</f>
        <v/>
      </c>
      <c r="C1814" s="50"/>
      <c r="D1814" s="50"/>
      <c r="E1814" s="50"/>
      <c r="F1814" s="50"/>
      <c r="G1814" s="280"/>
      <c r="H1814" s="293"/>
      <c r="I1814" s="292"/>
      <c r="J1814" s="292"/>
      <c r="K1814" s="200"/>
      <c r="L1814" s="200"/>
      <c r="M1814" s="89" t="str">
        <f>IFERROR(VLOOKUP(H1814,Lijsten!$H$1:$I$100,2,0),"")</f>
        <v/>
      </c>
      <c r="N1814" s="89" t="str" cm="1">
        <f t="array" ref="N1814">IFERROR(_xlfn.IFS(AND(LEFT(F1814,6)="Arbeid",RIGHT(F1814,3)&lt;&gt;"IKS"),IFERROR(VLOOKUP($G1814,Tb_KostenTypen[],2,0),"tarief"),RIGHT(F1814,3)="IKS","Uurtarief",LEFT(F1814,6)="Arbeid","Uurtarief",AND(LEFT(F1814,8)="Bijdrage",RIGHT(F1814,15)="(vrijwilligers)"),"Vast tarief"),"")</f>
        <v/>
      </c>
      <c r="O1814" s="90"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0"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1"/>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59"/>
      <c r="Z1814" s="49"/>
      <c r="AA1814" s="37" t="str" cm="1">
        <f t="array" ref="AA1814">IFERROR(IF(INDEX(SubsidieTabel!$Q$1:$T$9,MATCH($F1814,SubsidieTabel!$Q$1:$Q$9,0),IFERROR(MATCH(Methode_Keuze,SubsidieTabel!$Q$1:$T$1,0),2))&lt;&gt;1=TRUE,"ja",""),"")</f>
        <v/>
      </c>
    </row>
    <row r="1815" spans="1:27" ht="15" customHeight="1" x14ac:dyDescent="0.25">
      <c r="A1815" s="85"/>
      <c r="B1815" s="217" t="str">
        <f>IF(A1815&lt;&gt;"",_xlfn.MAXIFS($B$1:B1814,$A$1:A1814,A1815)+1,"")</f>
        <v/>
      </c>
      <c r="C1815" s="50"/>
      <c r="D1815" s="50"/>
      <c r="E1815" s="50"/>
      <c r="F1815" s="50"/>
      <c r="G1815" s="280"/>
      <c r="H1815" s="293"/>
      <c r="I1815" s="292"/>
      <c r="J1815" s="292"/>
      <c r="K1815" s="200"/>
      <c r="L1815" s="200"/>
      <c r="M1815" s="89" t="str">
        <f>IFERROR(VLOOKUP(H1815,Lijsten!$H$1:$I$100,2,0),"")</f>
        <v/>
      </c>
      <c r="N1815" s="89" t="str" cm="1">
        <f t="array" ref="N1815">IFERROR(_xlfn.IFS(AND(LEFT(F1815,6)="Arbeid",RIGHT(F1815,3)&lt;&gt;"IKS"),IFERROR(VLOOKUP($G1815,Tb_KostenTypen[],2,0),"tarief"),RIGHT(F1815,3)="IKS","Uurtarief",LEFT(F1815,6)="Arbeid","Uurtarief",AND(LEFT(F1815,8)="Bijdrage",RIGHT(F1815,15)="(vrijwilligers)"),"Vast tarief"),"")</f>
        <v/>
      </c>
      <c r="O1815" s="90"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0"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1"/>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59"/>
      <c r="Z1815" s="49"/>
      <c r="AA1815" s="37" t="str" cm="1">
        <f t="array" ref="AA1815">IFERROR(IF(INDEX(SubsidieTabel!$Q$1:$T$9,MATCH($F1815,SubsidieTabel!$Q$1:$Q$9,0),IFERROR(MATCH(Methode_Keuze,SubsidieTabel!$Q$1:$T$1,0),2))&lt;&gt;1=TRUE,"ja",""),"")</f>
        <v/>
      </c>
    </row>
    <row r="1816" spans="1:27" ht="15" customHeight="1" x14ac:dyDescent="0.25">
      <c r="A1816" s="85"/>
      <c r="B1816" s="217" t="str">
        <f>IF(A1816&lt;&gt;"",_xlfn.MAXIFS($B$1:B1815,$A$1:A1815,A1816)+1,"")</f>
        <v/>
      </c>
      <c r="C1816" s="50"/>
      <c r="D1816" s="50"/>
      <c r="E1816" s="50"/>
      <c r="F1816" s="50"/>
      <c r="G1816" s="280"/>
      <c r="H1816" s="293"/>
      <c r="I1816" s="292"/>
      <c r="J1816" s="292"/>
      <c r="K1816" s="200"/>
      <c r="L1816" s="200"/>
      <c r="M1816" s="89" t="str">
        <f>IFERROR(VLOOKUP(H1816,Lijsten!$H$1:$I$100,2,0),"")</f>
        <v/>
      </c>
      <c r="N1816" s="89" t="str" cm="1">
        <f t="array" ref="N1816">IFERROR(_xlfn.IFS(AND(LEFT(F1816,6)="Arbeid",RIGHT(F1816,3)&lt;&gt;"IKS"),IFERROR(VLOOKUP($G1816,Tb_KostenTypen[],2,0),"tarief"),RIGHT(F1816,3)="IKS","Uurtarief",LEFT(F1816,6)="Arbeid","Uurtarief",AND(LEFT(F1816,8)="Bijdrage",RIGHT(F1816,15)="(vrijwilligers)"),"Vast tarief"),"")</f>
        <v/>
      </c>
      <c r="O1816" s="90"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0"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1"/>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59"/>
      <c r="Z1816" s="49"/>
      <c r="AA1816" s="37" t="str" cm="1">
        <f t="array" ref="AA1816">IFERROR(IF(INDEX(SubsidieTabel!$Q$1:$T$9,MATCH($F1816,SubsidieTabel!$Q$1:$Q$9,0),IFERROR(MATCH(Methode_Keuze,SubsidieTabel!$Q$1:$T$1,0),2))&lt;&gt;1=TRUE,"ja",""),"")</f>
        <v/>
      </c>
    </row>
    <row r="1817" spans="1:27" ht="15" customHeight="1" x14ac:dyDescent="0.25">
      <c r="A1817" s="85"/>
      <c r="B1817" s="217" t="str">
        <f>IF(A1817&lt;&gt;"",_xlfn.MAXIFS($B$1:B1816,$A$1:A1816,A1817)+1,"")</f>
        <v/>
      </c>
      <c r="C1817" s="50"/>
      <c r="D1817" s="50"/>
      <c r="E1817" s="50"/>
      <c r="F1817" s="50"/>
      <c r="G1817" s="280"/>
      <c r="H1817" s="293"/>
      <c r="I1817" s="292"/>
      <c r="J1817" s="292"/>
      <c r="K1817" s="200"/>
      <c r="L1817" s="200"/>
      <c r="M1817" s="89" t="str">
        <f>IFERROR(VLOOKUP(H1817,Lijsten!$H$1:$I$100,2,0),"")</f>
        <v/>
      </c>
      <c r="N1817" s="89" t="str" cm="1">
        <f t="array" ref="N1817">IFERROR(_xlfn.IFS(AND(LEFT(F1817,6)="Arbeid",RIGHT(F1817,3)&lt;&gt;"IKS"),IFERROR(VLOOKUP($G1817,Tb_KostenTypen[],2,0),"tarief"),RIGHT(F1817,3)="IKS","Uurtarief",LEFT(F1817,6)="Arbeid","Uurtarief",AND(LEFT(F1817,8)="Bijdrage",RIGHT(F1817,15)="(vrijwilligers)"),"Vast tarief"),"")</f>
        <v/>
      </c>
      <c r="O1817" s="90"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0"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1"/>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59"/>
      <c r="Z1817" s="49"/>
      <c r="AA1817" s="37" t="str" cm="1">
        <f t="array" ref="AA1817">IFERROR(IF(INDEX(SubsidieTabel!$Q$1:$T$9,MATCH($F1817,SubsidieTabel!$Q$1:$Q$9,0),IFERROR(MATCH(Methode_Keuze,SubsidieTabel!$Q$1:$T$1,0),2))&lt;&gt;1=TRUE,"ja",""),"")</f>
        <v/>
      </c>
    </row>
    <row r="1818" spans="1:27" ht="15" customHeight="1" x14ac:dyDescent="0.25">
      <c r="A1818" s="85"/>
      <c r="B1818" s="217" t="str">
        <f>IF(A1818&lt;&gt;"",_xlfn.MAXIFS($B$1:B1817,$A$1:A1817,A1818)+1,"")</f>
        <v/>
      </c>
      <c r="C1818" s="50"/>
      <c r="D1818" s="50"/>
      <c r="E1818" s="50"/>
      <c r="F1818" s="50"/>
      <c r="G1818" s="280"/>
      <c r="H1818" s="293"/>
      <c r="I1818" s="292"/>
      <c r="J1818" s="292"/>
      <c r="K1818" s="200"/>
      <c r="L1818" s="200"/>
      <c r="M1818" s="89" t="str">
        <f>IFERROR(VLOOKUP(H1818,Lijsten!$H$1:$I$100,2,0),"")</f>
        <v/>
      </c>
      <c r="N1818" s="89" t="str" cm="1">
        <f t="array" ref="N1818">IFERROR(_xlfn.IFS(AND(LEFT(F1818,6)="Arbeid",RIGHT(F1818,3)&lt;&gt;"IKS"),IFERROR(VLOOKUP($G1818,Tb_KostenTypen[],2,0),"tarief"),RIGHT(F1818,3)="IKS","Uurtarief",LEFT(F1818,6)="Arbeid","Uurtarief",AND(LEFT(F1818,8)="Bijdrage",RIGHT(F1818,15)="(vrijwilligers)"),"Vast tarief"),"")</f>
        <v/>
      </c>
      <c r="O1818" s="90"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0"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1"/>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59"/>
      <c r="Z1818" s="49"/>
      <c r="AA1818" s="37" t="str" cm="1">
        <f t="array" ref="AA1818">IFERROR(IF(INDEX(SubsidieTabel!$Q$1:$T$9,MATCH($F1818,SubsidieTabel!$Q$1:$Q$9,0),IFERROR(MATCH(Methode_Keuze,SubsidieTabel!$Q$1:$T$1,0),2))&lt;&gt;1=TRUE,"ja",""),"")</f>
        <v/>
      </c>
    </row>
    <row r="1819" spans="1:27" ht="15" customHeight="1" x14ac:dyDescent="0.25">
      <c r="A1819" s="85"/>
      <c r="B1819" s="217" t="str">
        <f>IF(A1819&lt;&gt;"",_xlfn.MAXIFS($B$1:B1818,$A$1:A1818,A1819)+1,"")</f>
        <v/>
      </c>
      <c r="C1819" s="50"/>
      <c r="D1819" s="50"/>
      <c r="E1819" s="50"/>
      <c r="F1819" s="50"/>
      <c r="G1819" s="280"/>
      <c r="H1819" s="293"/>
      <c r="I1819" s="292"/>
      <c r="J1819" s="292"/>
      <c r="K1819" s="200"/>
      <c r="L1819" s="200"/>
      <c r="M1819" s="89" t="str">
        <f>IFERROR(VLOOKUP(H1819,Lijsten!$H$1:$I$100,2,0),"")</f>
        <v/>
      </c>
      <c r="N1819" s="89" t="str" cm="1">
        <f t="array" ref="N1819">IFERROR(_xlfn.IFS(AND(LEFT(F1819,6)="Arbeid",RIGHT(F1819,3)&lt;&gt;"IKS"),IFERROR(VLOOKUP($G1819,Tb_KostenTypen[],2,0),"tarief"),RIGHT(F1819,3)="IKS","Uurtarief",LEFT(F1819,6)="Arbeid","Uurtarief",AND(LEFT(F1819,8)="Bijdrage",RIGHT(F1819,15)="(vrijwilligers)"),"Vast tarief"),"")</f>
        <v/>
      </c>
      <c r="O1819" s="90"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0"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1"/>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59"/>
      <c r="Z1819" s="49"/>
      <c r="AA1819" s="37" t="str" cm="1">
        <f t="array" ref="AA1819">IFERROR(IF(INDEX(SubsidieTabel!$Q$1:$T$9,MATCH($F1819,SubsidieTabel!$Q$1:$Q$9,0),IFERROR(MATCH(Methode_Keuze,SubsidieTabel!$Q$1:$T$1,0),2))&lt;&gt;1=TRUE,"ja",""),"")</f>
        <v/>
      </c>
    </row>
    <row r="1820" spans="1:27" ht="15" customHeight="1" x14ac:dyDescent="0.25">
      <c r="A1820" s="85"/>
      <c r="B1820" s="217" t="str">
        <f>IF(A1820&lt;&gt;"",_xlfn.MAXIFS($B$1:B1819,$A$1:A1819,A1820)+1,"")</f>
        <v/>
      </c>
      <c r="C1820" s="50"/>
      <c r="D1820" s="50"/>
      <c r="E1820" s="50"/>
      <c r="F1820" s="50"/>
      <c r="G1820" s="280"/>
      <c r="H1820" s="293"/>
      <c r="I1820" s="292"/>
      <c r="J1820" s="292"/>
      <c r="K1820" s="200"/>
      <c r="L1820" s="200"/>
      <c r="M1820" s="89" t="str">
        <f>IFERROR(VLOOKUP(H1820,Lijsten!$H$1:$I$100,2,0),"")</f>
        <v/>
      </c>
      <c r="N1820" s="89" t="str" cm="1">
        <f t="array" ref="N1820">IFERROR(_xlfn.IFS(AND(LEFT(F1820,6)="Arbeid",RIGHT(F1820,3)&lt;&gt;"IKS"),IFERROR(VLOOKUP($G1820,Tb_KostenTypen[],2,0),"tarief"),RIGHT(F1820,3)="IKS","Uurtarief",LEFT(F1820,6)="Arbeid","Uurtarief",AND(LEFT(F1820,8)="Bijdrage",RIGHT(F1820,15)="(vrijwilligers)"),"Vast tarief"),"")</f>
        <v/>
      </c>
      <c r="O1820" s="90"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0"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1"/>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59"/>
      <c r="Z1820" s="49"/>
      <c r="AA1820" s="37" t="str" cm="1">
        <f t="array" ref="AA1820">IFERROR(IF(INDEX(SubsidieTabel!$Q$1:$T$9,MATCH($F1820,SubsidieTabel!$Q$1:$Q$9,0),IFERROR(MATCH(Methode_Keuze,SubsidieTabel!$Q$1:$T$1,0),2))&lt;&gt;1=TRUE,"ja",""),"")</f>
        <v/>
      </c>
    </row>
    <row r="1821" spans="1:27" ht="15" customHeight="1" x14ac:dyDescent="0.25">
      <c r="A1821" s="85"/>
      <c r="B1821" s="217" t="str">
        <f>IF(A1821&lt;&gt;"",_xlfn.MAXIFS($B$1:B1820,$A$1:A1820,A1821)+1,"")</f>
        <v/>
      </c>
      <c r="C1821" s="50"/>
      <c r="D1821" s="50"/>
      <c r="E1821" s="50"/>
      <c r="F1821" s="50"/>
      <c r="G1821" s="280"/>
      <c r="H1821" s="293"/>
      <c r="I1821" s="292"/>
      <c r="J1821" s="292"/>
      <c r="K1821" s="200"/>
      <c r="L1821" s="200"/>
      <c r="M1821" s="89" t="str">
        <f>IFERROR(VLOOKUP(H1821,Lijsten!$H$1:$I$100,2,0),"")</f>
        <v/>
      </c>
      <c r="N1821" s="89" t="str" cm="1">
        <f t="array" ref="N1821">IFERROR(_xlfn.IFS(AND(LEFT(F1821,6)="Arbeid",RIGHT(F1821,3)&lt;&gt;"IKS"),IFERROR(VLOOKUP($G1821,Tb_KostenTypen[],2,0),"tarief"),RIGHT(F1821,3)="IKS","Uurtarief",LEFT(F1821,6)="Arbeid","Uurtarief",AND(LEFT(F1821,8)="Bijdrage",RIGHT(F1821,15)="(vrijwilligers)"),"Vast tarief"),"")</f>
        <v/>
      </c>
      <c r="O1821" s="90"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0"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1"/>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59"/>
      <c r="Z1821" s="49"/>
      <c r="AA1821" s="37" t="str" cm="1">
        <f t="array" ref="AA1821">IFERROR(IF(INDEX(SubsidieTabel!$Q$1:$T$9,MATCH($F1821,SubsidieTabel!$Q$1:$Q$9,0),IFERROR(MATCH(Methode_Keuze,SubsidieTabel!$Q$1:$T$1,0),2))&lt;&gt;1=TRUE,"ja",""),"")</f>
        <v/>
      </c>
    </row>
    <row r="1822" spans="1:27" ht="15" customHeight="1" x14ac:dyDescent="0.25">
      <c r="A1822" s="85"/>
      <c r="B1822" s="217" t="str">
        <f>IF(A1822&lt;&gt;"",_xlfn.MAXIFS($B$1:B1821,$A$1:A1821,A1822)+1,"")</f>
        <v/>
      </c>
      <c r="C1822" s="50"/>
      <c r="D1822" s="50"/>
      <c r="E1822" s="50"/>
      <c r="F1822" s="50"/>
      <c r="G1822" s="280"/>
      <c r="H1822" s="293"/>
      <c r="I1822" s="292"/>
      <c r="J1822" s="292"/>
      <c r="K1822" s="200"/>
      <c r="L1822" s="200"/>
      <c r="M1822" s="89" t="str">
        <f>IFERROR(VLOOKUP(H1822,Lijsten!$H$1:$I$100,2,0),"")</f>
        <v/>
      </c>
      <c r="N1822" s="89" t="str" cm="1">
        <f t="array" ref="N1822">IFERROR(_xlfn.IFS(AND(LEFT(F1822,6)="Arbeid",RIGHT(F1822,3)&lt;&gt;"IKS"),IFERROR(VLOOKUP($G1822,Tb_KostenTypen[],2,0),"tarief"),RIGHT(F1822,3)="IKS","Uurtarief",LEFT(F1822,6)="Arbeid","Uurtarief",AND(LEFT(F1822,8)="Bijdrage",RIGHT(F1822,15)="(vrijwilligers)"),"Vast tarief"),"")</f>
        <v/>
      </c>
      <c r="O1822" s="90"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0"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1"/>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59"/>
      <c r="Z1822" s="49"/>
      <c r="AA1822" s="37" t="str" cm="1">
        <f t="array" ref="AA1822">IFERROR(IF(INDEX(SubsidieTabel!$Q$1:$T$9,MATCH($F1822,SubsidieTabel!$Q$1:$Q$9,0),IFERROR(MATCH(Methode_Keuze,SubsidieTabel!$Q$1:$T$1,0),2))&lt;&gt;1=TRUE,"ja",""),"")</f>
        <v/>
      </c>
    </row>
    <row r="1823" spans="1:27" ht="15" customHeight="1" x14ac:dyDescent="0.25">
      <c r="A1823" s="85"/>
      <c r="B1823" s="217" t="str">
        <f>IF(A1823&lt;&gt;"",_xlfn.MAXIFS($B$1:B1822,$A$1:A1822,A1823)+1,"")</f>
        <v/>
      </c>
      <c r="C1823" s="50"/>
      <c r="D1823" s="50"/>
      <c r="E1823" s="50"/>
      <c r="F1823" s="50"/>
      <c r="G1823" s="280"/>
      <c r="H1823" s="293"/>
      <c r="I1823" s="292"/>
      <c r="J1823" s="292"/>
      <c r="K1823" s="200"/>
      <c r="L1823" s="200"/>
      <c r="M1823" s="89" t="str">
        <f>IFERROR(VLOOKUP(H1823,Lijsten!$H$1:$I$100,2,0),"")</f>
        <v/>
      </c>
      <c r="N1823" s="89" t="str" cm="1">
        <f t="array" ref="N1823">IFERROR(_xlfn.IFS(AND(LEFT(F1823,6)="Arbeid",RIGHT(F1823,3)&lt;&gt;"IKS"),IFERROR(VLOOKUP($G1823,Tb_KostenTypen[],2,0),"tarief"),RIGHT(F1823,3)="IKS","Uurtarief",LEFT(F1823,6)="Arbeid","Uurtarief",AND(LEFT(F1823,8)="Bijdrage",RIGHT(F1823,15)="(vrijwilligers)"),"Vast tarief"),"")</f>
        <v/>
      </c>
      <c r="O1823" s="90"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0"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1"/>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59"/>
      <c r="Z1823" s="49"/>
      <c r="AA1823" s="37" t="str" cm="1">
        <f t="array" ref="AA1823">IFERROR(IF(INDEX(SubsidieTabel!$Q$1:$T$9,MATCH($F1823,SubsidieTabel!$Q$1:$Q$9,0),IFERROR(MATCH(Methode_Keuze,SubsidieTabel!$Q$1:$T$1,0),2))&lt;&gt;1=TRUE,"ja",""),"")</f>
        <v/>
      </c>
    </row>
    <row r="1824" spans="1:27" ht="15" customHeight="1" x14ac:dyDescent="0.25">
      <c r="A1824" s="85"/>
      <c r="B1824" s="217" t="str">
        <f>IF(A1824&lt;&gt;"",_xlfn.MAXIFS($B$1:B1823,$A$1:A1823,A1824)+1,"")</f>
        <v/>
      </c>
      <c r="C1824" s="50"/>
      <c r="D1824" s="50"/>
      <c r="E1824" s="50"/>
      <c r="F1824" s="50"/>
      <c r="G1824" s="280"/>
      <c r="H1824" s="293"/>
      <c r="I1824" s="292"/>
      <c r="J1824" s="292"/>
      <c r="K1824" s="200"/>
      <c r="L1824" s="200"/>
      <c r="M1824" s="89" t="str">
        <f>IFERROR(VLOOKUP(H1824,Lijsten!$H$1:$I$100,2,0),"")</f>
        <v/>
      </c>
      <c r="N1824" s="89" t="str" cm="1">
        <f t="array" ref="N1824">IFERROR(_xlfn.IFS(AND(LEFT(F1824,6)="Arbeid",RIGHT(F1824,3)&lt;&gt;"IKS"),IFERROR(VLOOKUP($G1824,Tb_KostenTypen[],2,0),"tarief"),RIGHT(F1824,3)="IKS","Uurtarief",LEFT(F1824,6)="Arbeid","Uurtarief",AND(LEFT(F1824,8)="Bijdrage",RIGHT(F1824,15)="(vrijwilligers)"),"Vast tarief"),"")</f>
        <v/>
      </c>
      <c r="O1824" s="90"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0"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1"/>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59"/>
      <c r="Z1824" s="49"/>
      <c r="AA1824" s="37" t="str" cm="1">
        <f t="array" ref="AA1824">IFERROR(IF(INDEX(SubsidieTabel!$Q$1:$T$9,MATCH($F1824,SubsidieTabel!$Q$1:$Q$9,0),IFERROR(MATCH(Methode_Keuze,SubsidieTabel!$Q$1:$T$1,0),2))&lt;&gt;1=TRUE,"ja",""),"")</f>
        <v/>
      </c>
    </row>
    <row r="1825" spans="1:27" ht="15" customHeight="1" x14ac:dyDescent="0.25">
      <c r="A1825" s="85"/>
      <c r="B1825" s="217" t="str">
        <f>IF(A1825&lt;&gt;"",_xlfn.MAXIFS($B$1:B1824,$A$1:A1824,A1825)+1,"")</f>
        <v/>
      </c>
      <c r="C1825" s="50"/>
      <c r="D1825" s="50"/>
      <c r="E1825" s="50"/>
      <c r="F1825" s="50"/>
      <c r="G1825" s="280"/>
      <c r="H1825" s="293"/>
      <c r="I1825" s="292"/>
      <c r="J1825" s="292"/>
      <c r="K1825" s="200"/>
      <c r="L1825" s="200"/>
      <c r="M1825" s="89" t="str">
        <f>IFERROR(VLOOKUP(H1825,Lijsten!$H$1:$I$100,2,0),"")</f>
        <v/>
      </c>
      <c r="N1825" s="89" t="str" cm="1">
        <f t="array" ref="N1825">IFERROR(_xlfn.IFS(AND(LEFT(F1825,6)="Arbeid",RIGHT(F1825,3)&lt;&gt;"IKS"),IFERROR(VLOOKUP($G1825,Tb_KostenTypen[],2,0),"tarief"),RIGHT(F1825,3)="IKS","Uurtarief",LEFT(F1825,6)="Arbeid","Uurtarief",AND(LEFT(F1825,8)="Bijdrage",RIGHT(F1825,15)="(vrijwilligers)"),"Vast tarief"),"")</f>
        <v/>
      </c>
      <c r="O1825" s="90"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0"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1"/>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59"/>
      <c r="Z1825" s="49"/>
      <c r="AA1825" s="37" t="str" cm="1">
        <f t="array" ref="AA1825">IFERROR(IF(INDEX(SubsidieTabel!$Q$1:$T$9,MATCH($F1825,SubsidieTabel!$Q$1:$Q$9,0),IFERROR(MATCH(Methode_Keuze,SubsidieTabel!$Q$1:$T$1,0),2))&lt;&gt;1=TRUE,"ja",""),"")</f>
        <v/>
      </c>
    </row>
    <row r="1826" spans="1:27" ht="15" customHeight="1" x14ac:dyDescent="0.25">
      <c r="A1826" s="85"/>
      <c r="B1826" s="217" t="str">
        <f>IF(A1826&lt;&gt;"",_xlfn.MAXIFS($B$1:B1825,$A$1:A1825,A1826)+1,"")</f>
        <v/>
      </c>
      <c r="C1826" s="50"/>
      <c r="D1826" s="50"/>
      <c r="E1826" s="50"/>
      <c r="F1826" s="50"/>
      <c r="G1826" s="280"/>
      <c r="H1826" s="293"/>
      <c r="I1826" s="292"/>
      <c r="J1826" s="292"/>
      <c r="K1826" s="200"/>
      <c r="L1826" s="200"/>
      <c r="M1826" s="89" t="str">
        <f>IFERROR(VLOOKUP(H1826,Lijsten!$H$1:$I$100,2,0),"")</f>
        <v/>
      </c>
      <c r="N1826" s="89" t="str" cm="1">
        <f t="array" ref="N1826">IFERROR(_xlfn.IFS(AND(LEFT(F1826,6)="Arbeid",RIGHT(F1826,3)&lt;&gt;"IKS"),IFERROR(VLOOKUP($G1826,Tb_KostenTypen[],2,0),"tarief"),RIGHT(F1826,3)="IKS","Uurtarief",LEFT(F1826,6)="Arbeid","Uurtarief",AND(LEFT(F1826,8)="Bijdrage",RIGHT(F1826,15)="(vrijwilligers)"),"Vast tarief"),"")</f>
        <v/>
      </c>
      <c r="O1826" s="90"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0"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1"/>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59"/>
      <c r="Z1826" s="49"/>
      <c r="AA1826" s="37" t="str" cm="1">
        <f t="array" ref="AA1826">IFERROR(IF(INDEX(SubsidieTabel!$Q$1:$T$9,MATCH($F1826,SubsidieTabel!$Q$1:$Q$9,0),IFERROR(MATCH(Methode_Keuze,SubsidieTabel!$Q$1:$T$1,0),2))&lt;&gt;1=TRUE,"ja",""),"")</f>
        <v/>
      </c>
    </row>
    <row r="1827" spans="1:27" ht="15" customHeight="1" x14ac:dyDescent="0.25">
      <c r="A1827" s="85"/>
      <c r="B1827" s="217" t="str">
        <f>IF(A1827&lt;&gt;"",_xlfn.MAXIFS($B$1:B1826,$A$1:A1826,A1827)+1,"")</f>
        <v/>
      </c>
      <c r="C1827" s="50"/>
      <c r="D1827" s="50"/>
      <c r="E1827" s="50"/>
      <c r="F1827" s="50"/>
      <c r="G1827" s="280"/>
      <c r="H1827" s="293"/>
      <c r="I1827" s="292"/>
      <c r="J1827" s="292"/>
      <c r="K1827" s="200"/>
      <c r="L1827" s="200"/>
      <c r="M1827" s="89" t="str">
        <f>IFERROR(VLOOKUP(H1827,Lijsten!$H$1:$I$100,2,0),"")</f>
        <v/>
      </c>
      <c r="N1827" s="89" t="str" cm="1">
        <f t="array" ref="N1827">IFERROR(_xlfn.IFS(AND(LEFT(F1827,6)="Arbeid",RIGHT(F1827,3)&lt;&gt;"IKS"),IFERROR(VLOOKUP($G1827,Tb_KostenTypen[],2,0),"tarief"),RIGHT(F1827,3)="IKS","Uurtarief",LEFT(F1827,6)="Arbeid","Uurtarief",AND(LEFT(F1827,8)="Bijdrage",RIGHT(F1827,15)="(vrijwilligers)"),"Vast tarief"),"")</f>
        <v/>
      </c>
      <c r="O1827" s="90"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0"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1"/>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59"/>
      <c r="Z1827" s="49"/>
      <c r="AA1827" s="37" t="str" cm="1">
        <f t="array" ref="AA1827">IFERROR(IF(INDEX(SubsidieTabel!$Q$1:$T$9,MATCH($F1827,SubsidieTabel!$Q$1:$Q$9,0),IFERROR(MATCH(Methode_Keuze,SubsidieTabel!$Q$1:$T$1,0),2))&lt;&gt;1=TRUE,"ja",""),"")</f>
        <v/>
      </c>
    </row>
    <row r="1828" spans="1:27" ht="15" customHeight="1" x14ac:dyDescent="0.25">
      <c r="A1828" s="85"/>
      <c r="B1828" s="217" t="str">
        <f>IF(A1828&lt;&gt;"",_xlfn.MAXIFS($B$1:B1827,$A$1:A1827,A1828)+1,"")</f>
        <v/>
      </c>
      <c r="C1828" s="50"/>
      <c r="D1828" s="50"/>
      <c r="E1828" s="50"/>
      <c r="F1828" s="50"/>
      <c r="G1828" s="280"/>
      <c r="H1828" s="293"/>
      <c r="I1828" s="292"/>
      <c r="J1828" s="292"/>
      <c r="K1828" s="200"/>
      <c r="L1828" s="200"/>
      <c r="M1828" s="89" t="str">
        <f>IFERROR(VLOOKUP(H1828,Lijsten!$H$1:$I$100,2,0),"")</f>
        <v/>
      </c>
      <c r="N1828" s="89" t="str" cm="1">
        <f t="array" ref="N1828">IFERROR(_xlfn.IFS(AND(LEFT(F1828,6)="Arbeid",RIGHT(F1828,3)&lt;&gt;"IKS"),IFERROR(VLOOKUP($G1828,Tb_KostenTypen[],2,0),"tarief"),RIGHT(F1828,3)="IKS","Uurtarief",LEFT(F1828,6)="Arbeid","Uurtarief",AND(LEFT(F1828,8)="Bijdrage",RIGHT(F1828,15)="(vrijwilligers)"),"Vast tarief"),"")</f>
        <v/>
      </c>
      <c r="O1828" s="90"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0"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1"/>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59"/>
      <c r="Z1828" s="49"/>
      <c r="AA1828" s="37" t="str" cm="1">
        <f t="array" ref="AA1828">IFERROR(IF(INDEX(SubsidieTabel!$Q$1:$T$9,MATCH($F1828,SubsidieTabel!$Q$1:$Q$9,0),IFERROR(MATCH(Methode_Keuze,SubsidieTabel!$Q$1:$T$1,0),2))&lt;&gt;1=TRUE,"ja",""),"")</f>
        <v/>
      </c>
    </row>
    <row r="1829" spans="1:27" ht="15" customHeight="1" x14ac:dyDescent="0.25">
      <c r="A1829" s="85"/>
      <c r="B1829" s="217" t="str">
        <f>IF(A1829&lt;&gt;"",_xlfn.MAXIFS($B$1:B1828,$A$1:A1828,A1829)+1,"")</f>
        <v/>
      </c>
      <c r="C1829" s="50"/>
      <c r="D1829" s="50"/>
      <c r="E1829" s="50"/>
      <c r="F1829" s="50"/>
      <c r="G1829" s="280"/>
      <c r="H1829" s="293"/>
      <c r="I1829" s="292"/>
      <c r="J1829" s="292"/>
      <c r="K1829" s="200"/>
      <c r="L1829" s="200"/>
      <c r="M1829" s="89" t="str">
        <f>IFERROR(VLOOKUP(H1829,Lijsten!$H$1:$I$100,2,0),"")</f>
        <v/>
      </c>
      <c r="N1829" s="89" t="str" cm="1">
        <f t="array" ref="N1829">IFERROR(_xlfn.IFS(AND(LEFT(F1829,6)="Arbeid",RIGHT(F1829,3)&lt;&gt;"IKS"),IFERROR(VLOOKUP($G1829,Tb_KostenTypen[],2,0),"tarief"),RIGHT(F1829,3)="IKS","Uurtarief",LEFT(F1829,6)="Arbeid","Uurtarief",AND(LEFT(F1829,8)="Bijdrage",RIGHT(F1829,15)="(vrijwilligers)"),"Vast tarief"),"")</f>
        <v/>
      </c>
      <c r="O1829" s="90"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0"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1"/>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59"/>
      <c r="Z1829" s="49"/>
      <c r="AA1829" s="37" t="str" cm="1">
        <f t="array" ref="AA1829">IFERROR(IF(INDEX(SubsidieTabel!$Q$1:$T$9,MATCH($F1829,SubsidieTabel!$Q$1:$Q$9,0),IFERROR(MATCH(Methode_Keuze,SubsidieTabel!$Q$1:$T$1,0),2))&lt;&gt;1=TRUE,"ja",""),"")</f>
        <v/>
      </c>
    </row>
    <row r="1830" spans="1:27" ht="15" customHeight="1" x14ac:dyDescent="0.25">
      <c r="A1830" s="85"/>
      <c r="B1830" s="217" t="str">
        <f>IF(A1830&lt;&gt;"",_xlfn.MAXIFS($B$1:B1829,$A$1:A1829,A1830)+1,"")</f>
        <v/>
      </c>
      <c r="C1830" s="50"/>
      <c r="D1830" s="50"/>
      <c r="E1830" s="50"/>
      <c r="F1830" s="50"/>
      <c r="G1830" s="280"/>
      <c r="H1830" s="293"/>
      <c r="I1830" s="292"/>
      <c r="J1830" s="292"/>
      <c r="K1830" s="200"/>
      <c r="L1830" s="200"/>
      <c r="M1830" s="89" t="str">
        <f>IFERROR(VLOOKUP(H1830,Lijsten!$H$1:$I$100,2,0),"")</f>
        <v/>
      </c>
      <c r="N1830" s="89" t="str" cm="1">
        <f t="array" ref="N1830">IFERROR(_xlfn.IFS(AND(LEFT(F1830,6)="Arbeid",RIGHT(F1830,3)&lt;&gt;"IKS"),IFERROR(VLOOKUP($G1830,Tb_KostenTypen[],2,0),"tarief"),RIGHT(F1830,3)="IKS","Uurtarief",LEFT(F1830,6)="Arbeid","Uurtarief",AND(LEFT(F1830,8)="Bijdrage",RIGHT(F1830,15)="(vrijwilligers)"),"Vast tarief"),"")</f>
        <v/>
      </c>
      <c r="O1830" s="90"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0"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1"/>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59"/>
      <c r="Z1830" s="49"/>
      <c r="AA1830" s="37" t="str" cm="1">
        <f t="array" ref="AA1830">IFERROR(IF(INDEX(SubsidieTabel!$Q$1:$T$9,MATCH($F1830,SubsidieTabel!$Q$1:$Q$9,0),IFERROR(MATCH(Methode_Keuze,SubsidieTabel!$Q$1:$T$1,0),2))&lt;&gt;1=TRUE,"ja",""),"")</f>
        <v/>
      </c>
    </row>
    <row r="1831" spans="1:27" ht="15" customHeight="1" x14ac:dyDescent="0.25">
      <c r="A1831" s="85"/>
      <c r="B1831" s="217" t="str">
        <f>IF(A1831&lt;&gt;"",_xlfn.MAXIFS($B$1:B1830,$A$1:A1830,A1831)+1,"")</f>
        <v/>
      </c>
      <c r="C1831" s="50"/>
      <c r="D1831" s="50"/>
      <c r="E1831" s="50"/>
      <c r="F1831" s="50"/>
      <c r="G1831" s="280"/>
      <c r="H1831" s="293"/>
      <c r="I1831" s="292"/>
      <c r="J1831" s="292"/>
      <c r="K1831" s="200"/>
      <c r="L1831" s="200"/>
      <c r="M1831" s="89" t="str">
        <f>IFERROR(VLOOKUP(H1831,Lijsten!$H$1:$I$100,2,0),"")</f>
        <v/>
      </c>
      <c r="N1831" s="89" t="str" cm="1">
        <f t="array" ref="N1831">IFERROR(_xlfn.IFS(AND(LEFT(F1831,6)="Arbeid",RIGHT(F1831,3)&lt;&gt;"IKS"),IFERROR(VLOOKUP($G1831,Tb_KostenTypen[],2,0),"tarief"),RIGHT(F1831,3)="IKS","Uurtarief",LEFT(F1831,6)="Arbeid","Uurtarief",AND(LEFT(F1831,8)="Bijdrage",RIGHT(F1831,15)="(vrijwilligers)"),"Vast tarief"),"")</f>
        <v/>
      </c>
      <c r="O1831" s="90"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0"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1"/>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59"/>
      <c r="Z1831" s="49"/>
      <c r="AA1831" s="37" t="str" cm="1">
        <f t="array" ref="AA1831">IFERROR(IF(INDEX(SubsidieTabel!$Q$1:$T$9,MATCH($F1831,SubsidieTabel!$Q$1:$Q$9,0),IFERROR(MATCH(Methode_Keuze,SubsidieTabel!$Q$1:$T$1,0),2))&lt;&gt;1=TRUE,"ja",""),"")</f>
        <v/>
      </c>
    </row>
    <row r="1832" spans="1:27" ht="15" customHeight="1" x14ac:dyDescent="0.25">
      <c r="A1832" s="85"/>
      <c r="B1832" s="217" t="str">
        <f>IF(A1832&lt;&gt;"",_xlfn.MAXIFS($B$1:B1831,$A$1:A1831,A1832)+1,"")</f>
        <v/>
      </c>
      <c r="C1832" s="50"/>
      <c r="D1832" s="50"/>
      <c r="E1832" s="50"/>
      <c r="F1832" s="50"/>
      <c r="G1832" s="280"/>
      <c r="H1832" s="293"/>
      <c r="I1832" s="292"/>
      <c r="J1832" s="292"/>
      <c r="K1832" s="200"/>
      <c r="L1832" s="200"/>
      <c r="M1832" s="89" t="str">
        <f>IFERROR(VLOOKUP(H1832,Lijsten!$H$1:$I$100,2,0),"")</f>
        <v/>
      </c>
      <c r="N1832" s="89" t="str" cm="1">
        <f t="array" ref="N1832">IFERROR(_xlfn.IFS(AND(LEFT(F1832,6)="Arbeid",RIGHT(F1832,3)&lt;&gt;"IKS"),IFERROR(VLOOKUP($G1832,Tb_KostenTypen[],2,0),"tarief"),RIGHT(F1832,3)="IKS","Uurtarief",LEFT(F1832,6)="Arbeid","Uurtarief",AND(LEFT(F1832,8)="Bijdrage",RIGHT(F1832,15)="(vrijwilligers)"),"Vast tarief"),"")</f>
        <v/>
      </c>
      <c r="O1832" s="90"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0"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1"/>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59"/>
      <c r="Z1832" s="49"/>
      <c r="AA1832" s="37" t="str" cm="1">
        <f t="array" ref="AA1832">IFERROR(IF(INDEX(SubsidieTabel!$Q$1:$T$9,MATCH($F1832,SubsidieTabel!$Q$1:$Q$9,0),IFERROR(MATCH(Methode_Keuze,SubsidieTabel!$Q$1:$T$1,0),2))&lt;&gt;1=TRUE,"ja",""),"")</f>
        <v/>
      </c>
    </row>
    <row r="1833" spans="1:27" ht="15" customHeight="1" x14ac:dyDescent="0.25">
      <c r="A1833" s="85"/>
      <c r="B1833" s="217" t="str">
        <f>IF(A1833&lt;&gt;"",_xlfn.MAXIFS($B$1:B1832,$A$1:A1832,A1833)+1,"")</f>
        <v/>
      </c>
      <c r="C1833" s="50"/>
      <c r="D1833" s="50"/>
      <c r="E1833" s="50"/>
      <c r="F1833" s="50"/>
      <c r="G1833" s="280"/>
      <c r="H1833" s="293"/>
      <c r="I1833" s="292"/>
      <c r="J1833" s="292"/>
      <c r="K1833" s="200"/>
      <c r="L1833" s="200"/>
      <c r="M1833" s="89" t="str">
        <f>IFERROR(VLOOKUP(H1833,Lijsten!$H$1:$I$100,2,0),"")</f>
        <v/>
      </c>
      <c r="N1833" s="89" t="str" cm="1">
        <f t="array" ref="N1833">IFERROR(_xlfn.IFS(AND(LEFT(F1833,6)="Arbeid",RIGHT(F1833,3)&lt;&gt;"IKS"),IFERROR(VLOOKUP($G1833,Tb_KostenTypen[],2,0),"tarief"),RIGHT(F1833,3)="IKS","Uurtarief",LEFT(F1833,6)="Arbeid","Uurtarief",AND(LEFT(F1833,8)="Bijdrage",RIGHT(F1833,15)="(vrijwilligers)"),"Vast tarief"),"")</f>
        <v/>
      </c>
      <c r="O1833" s="90"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0"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1"/>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59"/>
      <c r="Z1833" s="49"/>
      <c r="AA1833" s="37" t="str" cm="1">
        <f t="array" ref="AA1833">IFERROR(IF(INDEX(SubsidieTabel!$Q$1:$T$9,MATCH($F1833,SubsidieTabel!$Q$1:$Q$9,0),IFERROR(MATCH(Methode_Keuze,SubsidieTabel!$Q$1:$T$1,0),2))&lt;&gt;1=TRUE,"ja",""),"")</f>
        <v/>
      </c>
    </row>
    <row r="1834" spans="1:27" ht="15" customHeight="1" x14ac:dyDescent="0.25">
      <c r="A1834" s="85"/>
      <c r="B1834" s="217" t="str">
        <f>IF(A1834&lt;&gt;"",_xlfn.MAXIFS($B$1:B1833,$A$1:A1833,A1834)+1,"")</f>
        <v/>
      </c>
      <c r="C1834" s="50"/>
      <c r="D1834" s="50"/>
      <c r="E1834" s="50"/>
      <c r="F1834" s="50"/>
      <c r="G1834" s="280"/>
      <c r="H1834" s="293"/>
      <c r="I1834" s="292"/>
      <c r="J1834" s="292"/>
      <c r="K1834" s="200"/>
      <c r="L1834" s="200"/>
      <c r="M1834" s="89" t="str">
        <f>IFERROR(VLOOKUP(H1834,Lijsten!$H$1:$I$100,2,0),"")</f>
        <v/>
      </c>
      <c r="N1834" s="89" t="str" cm="1">
        <f t="array" ref="N1834">IFERROR(_xlfn.IFS(AND(LEFT(F1834,6)="Arbeid",RIGHT(F1834,3)&lt;&gt;"IKS"),IFERROR(VLOOKUP($G1834,Tb_KostenTypen[],2,0),"tarief"),RIGHT(F1834,3)="IKS","Uurtarief",LEFT(F1834,6)="Arbeid","Uurtarief",AND(LEFT(F1834,8)="Bijdrage",RIGHT(F1834,15)="(vrijwilligers)"),"Vast tarief"),"")</f>
        <v/>
      </c>
      <c r="O1834" s="90"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0"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1"/>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59"/>
      <c r="Z1834" s="49"/>
      <c r="AA1834" s="37" t="str" cm="1">
        <f t="array" ref="AA1834">IFERROR(IF(INDEX(SubsidieTabel!$Q$1:$T$9,MATCH($F1834,SubsidieTabel!$Q$1:$Q$9,0),IFERROR(MATCH(Methode_Keuze,SubsidieTabel!$Q$1:$T$1,0),2))&lt;&gt;1=TRUE,"ja",""),"")</f>
        <v/>
      </c>
    </row>
    <row r="1835" spans="1:27" ht="15" customHeight="1" x14ac:dyDescent="0.25">
      <c r="A1835" s="85"/>
      <c r="B1835" s="217" t="str">
        <f>IF(A1835&lt;&gt;"",_xlfn.MAXIFS($B$1:B1834,$A$1:A1834,A1835)+1,"")</f>
        <v/>
      </c>
      <c r="C1835" s="50"/>
      <c r="D1835" s="50"/>
      <c r="E1835" s="50"/>
      <c r="F1835" s="50"/>
      <c r="G1835" s="280"/>
      <c r="H1835" s="293"/>
      <c r="I1835" s="292"/>
      <c r="J1835" s="292"/>
      <c r="K1835" s="200"/>
      <c r="L1835" s="200"/>
      <c r="M1835" s="89" t="str">
        <f>IFERROR(VLOOKUP(H1835,Lijsten!$H$1:$I$100,2,0),"")</f>
        <v/>
      </c>
      <c r="N1835" s="89" t="str" cm="1">
        <f t="array" ref="N1835">IFERROR(_xlfn.IFS(AND(LEFT(F1835,6)="Arbeid",RIGHT(F1835,3)&lt;&gt;"IKS"),IFERROR(VLOOKUP($G1835,Tb_KostenTypen[],2,0),"tarief"),RIGHT(F1835,3)="IKS","Uurtarief",LEFT(F1835,6)="Arbeid","Uurtarief",AND(LEFT(F1835,8)="Bijdrage",RIGHT(F1835,15)="(vrijwilligers)"),"Vast tarief"),"")</f>
        <v/>
      </c>
      <c r="O1835" s="90"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0"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1"/>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59"/>
      <c r="Z1835" s="49"/>
      <c r="AA1835" s="37" t="str" cm="1">
        <f t="array" ref="AA1835">IFERROR(IF(INDEX(SubsidieTabel!$Q$1:$T$9,MATCH($F1835,SubsidieTabel!$Q$1:$Q$9,0),IFERROR(MATCH(Methode_Keuze,SubsidieTabel!$Q$1:$T$1,0),2))&lt;&gt;1=TRUE,"ja",""),"")</f>
        <v/>
      </c>
    </row>
    <row r="1836" spans="1:27" ht="15" customHeight="1" x14ac:dyDescent="0.25">
      <c r="A1836" s="85"/>
      <c r="B1836" s="217" t="str">
        <f>IF(A1836&lt;&gt;"",_xlfn.MAXIFS($B$1:B1835,$A$1:A1835,A1836)+1,"")</f>
        <v/>
      </c>
      <c r="C1836" s="50"/>
      <c r="D1836" s="50"/>
      <c r="E1836" s="50"/>
      <c r="F1836" s="50"/>
      <c r="G1836" s="280"/>
      <c r="H1836" s="293"/>
      <c r="I1836" s="292"/>
      <c r="J1836" s="292"/>
      <c r="K1836" s="200"/>
      <c r="L1836" s="200"/>
      <c r="M1836" s="89" t="str">
        <f>IFERROR(VLOOKUP(H1836,Lijsten!$H$1:$I$100,2,0),"")</f>
        <v/>
      </c>
      <c r="N1836" s="89" t="str" cm="1">
        <f t="array" ref="N1836">IFERROR(_xlfn.IFS(AND(LEFT(F1836,6)="Arbeid",RIGHT(F1836,3)&lt;&gt;"IKS"),IFERROR(VLOOKUP($G1836,Tb_KostenTypen[],2,0),"tarief"),RIGHT(F1836,3)="IKS","Uurtarief",LEFT(F1836,6)="Arbeid","Uurtarief",AND(LEFT(F1836,8)="Bijdrage",RIGHT(F1836,15)="(vrijwilligers)"),"Vast tarief"),"")</f>
        <v/>
      </c>
      <c r="O1836" s="90"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0"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1"/>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59"/>
      <c r="Z1836" s="49"/>
      <c r="AA1836" s="37" t="str" cm="1">
        <f t="array" ref="AA1836">IFERROR(IF(INDEX(SubsidieTabel!$Q$1:$T$9,MATCH($F1836,SubsidieTabel!$Q$1:$Q$9,0),IFERROR(MATCH(Methode_Keuze,SubsidieTabel!$Q$1:$T$1,0),2))&lt;&gt;1=TRUE,"ja",""),"")</f>
        <v/>
      </c>
    </row>
    <row r="1837" spans="1:27" ht="15" customHeight="1" x14ac:dyDescent="0.25">
      <c r="A1837" s="85"/>
      <c r="B1837" s="217" t="str">
        <f>IF(A1837&lt;&gt;"",_xlfn.MAXIFS($B$1:B1836,$A$1:A1836,A1837)+1,"")</f>
        <v/>
      </c>
      <c r="C1837" s="50"/>
      <c r="D1837" s="50"/>
      <c r="E1837" s="50"/>
      <c r="F1837" s="50"/>
      <c r="G1837" s="280"/>
      <c r="H1837" s="293"/>
      <c r="I1837" s="292"/>
      <c r="J1837" s="292"/>
      <c r="K1837" s="200"/>
      <c r="L1837" s="200"/>
      <c r="M1837" s="89" t="str">
        <f>IFERROR(VLOOKUP(H1837,Lijsten!$H$1:$I$100,2,0),"")</f>
        <v/>
      </c>
      <c r="N1837" s="89" t="str" cm="1">
        <f t="array" ref="N1837">IFERROR(_xlfn.IFS(AND(LEFT(F1837,6)="Arbeid",RIGHT(F1837,3)&lt;&gt;"IKS"),IFERROR(VLOOKUP($G1837,Tb_KostenTypen[],2,0),"tarief"),RIGHT(F1837,3)="IKS","Uurtarief",LEFT(F1837,6)="Arbeid","Uurtarief",AND(LEFT(F1837,8)="Bijdrage",RIGHT(F1837,15)="(vrijwilligers)"),"Vast tarief"),"")</f>
        <v/>
      </c>
      <c r="O1837" s="90"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0"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1"/>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59"/>
      <c r="Z1837" s="49"/>
      <c r="AA1837" s="37" t="str" cm="1">
        <f t="array" ref="AA1837">IFERROR(IF(INDEX(SubsidieTabel!$Q$1:$T$9,MATCH($F1837,SubsidieTabel!$Q$1:$Q$9,0),IFERROR(MATCH(Methode_Keuze,SubsidieTabel!$Q$1:$T$1,0),2))&lt;&gt;1=TRUE,"ja",""),"")</f>
        <v/>
      </c>
    </row>
    <row r="1838" spans="1:27" ht="15" customHeight="1" x14ac:dyDescent="0.25">
      <c r="A1838" s="85"/>
      <c r="B1838" s="217" t="str">
        <f>IF(A1838&lt;&gt;"",_xlfn.MAXIFS($B$1:B1837,$A$1:A1837,A1838)+1,"")</f>
        <v/>
      </c>
      <c r="C1838" s="50"/>
      <c r="D1838" s="50"/>
      <c r="E1838" s="50"/>
      <c r="F1838" s="50"/>
      <c r="G1838" s="280"/>
      <c r="H1838" s="293"/>
      <c r="I1838" s="292"/>
      <c r="J1838" s="292"/>
      <c r="K1838" s="200"/>
      <c r="L1838" s="200"/>
      <c r="M1838" s="89" t="str">
        <f>IFERROR(VLOOKUP(H1838,Lijsten!$H$1:$I$100,2,0),"")</f>
        <v/>
      </c>
      <c r="N1838" s="89" t="str" cm="1">
        <f t="array" ref="N1838">IFERROR(_xlfn.IFS(AND(LEFT(F1838,6)="Arbeid",RIGHT(F1838,3)&lt;&gt;"IKS"),IFERROR(VLOOKUP($G1838,Tb_KostenTypen[],2,0),"tarief"),RIGHT(F1838,3)="IKS","Uurtarief",LEFT(F1838,6)="Arbeid","Uurtarief",AND(LEFT(F1838,8)="Bijdrage",RIGHT(F1838,15)="(vrijwilligers)"),"Vast tarief"),"")</f>
        <v/>
      </c>
      <c r="O1838" s="90"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0"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1"/>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59"/>
      <c r="Z1838" s="49"/>
      <c r="AA1838" s="37" t="str" cm="1">
        <f t="array" ref="AA1838">IFERROR(IF(INDEX(SubsidieTabel!$Q$1:$T$9,MATCH($F1838,SubsidieTabel!$Q$1:$Q$9,0),IFERROR(MATCH(Methode_Keuze,SubsidieTabel!$Q$1:$T$1,0),2))&lt;&gt;1=TRUE,"ja",""),"")</f>
        <v/>
      </c>
    </row>
    <row r="1839" spans="1:27" ht="15" customHeight="1" x14ac:dyDescent="0.25">
      <c r="A1839" s="85"/>
      <c r="B1839" s="217" t="str">
        <f>IF(A1839&lt;&gt;"",_xlfn.MAXIFS($B$1:B1838,$A$1:A1838,A1839)+1,"")</f>
        <v/>
      </c>
      <c r="C1839" s="50"/>
      <c r="D1839" s="50"/>
      <c r="E1839" s="50"/>
      <c r="F1839" s="50"/>
      <c r="G1839" s="280"/>
      <c r="H1839" s="293"/>
      <c r="I1839" s="292"/>
      <c r="J1839" s="292"/>
      <c r="K1839" s="200"/>
      <c r="L1839" s="200"/>
      <c r="M1839" s="89" t="str">
        <f>IFERROR(VLOOKUP(H1839,Lijsten!$H$1:$I$100,2,0),"")</f>
        <v/>
      </c>
      <c r="N1839" s="89" t="str" cm="1">
        <f t="array" ref="N1839">IFERROR(_xlfn.IFS(AND(LEFT(F1839,6)="Arbeid",RIGHT(F1839,3)&lt;&gt;"IKS"),IFERROR(VLOOKUP($G1839,Tb_KostenTypen[],2,0),"tarief"),RIGHT(F1839,3)="IKS","Uurtarief",LEFT(F1839,6)="Arbeid","Uurtarief",AND(LEFT(F1839,8)="Bijdrage",RIGHT(F1839,15)="(vrijwilligers)"),"Vast tarief"),"")</f>
        <v/>
      </c>
      <c r="O1839" s="90"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0"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1"/>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59"/>
      <c r="Z1839" s="49"/>
      <c r="AA1839" s="37" t="str" cm="1">
        <f t="array" ref="AA1839">IFERROR(IF(INDEX(SubsidieTabel!$Q$1:$T$9,MATCH($F1839,SubsidieTabel!$Q$1:$Q$9,0),IFERROR(MATCH(Methode_Keuze,SubsidieTabel!$Q$1:$T$1,0),2))&lt;&gt;1=TRUE,"ja",""),"")</f>
        <v/>
      </c>
    </row>
    <row r="1840" spans="1:27" ht="15" customHeight="1" x14ac:dyDescent="0.25">
      <c r="A1840" s="85"/>
      <c r="B1840" s="217" t="str">
        <f>IF(A1840&lt;&gt;"",_xlfn.MAXIFS($B$1:B1839,$A$1:A1839,A1840)+1,"")</f>
        <v/>
      </c>
      <c r="C1840" s="50"/>
      <c r="D1840" s="50"/>
      <c r="E1840" s="50"/>
      <c r="F1840" s="50"/>
      <c r="G1840" s="280"/>
      <c r="H1840" s="293"/>
      <c r="I1840" s="292"/>
      <c r="J1840" s="292"/>
      <c r="K1840" s="200"/>
      <c r="L1840" s="200"/>
      <c r="M1840" s="89" t="str">
        <f>IFERROR(VLOOKUP(H1840,Lijsten!$H$1:$I$100,2,0),"")</f>
        <v/>
      </c>
      <c r="N1840" s="89" t="str" cm="1">
        <f t="array" ref="N1840">IFERROR(_xlfn.IFS(AND(LEFT(F1840,6)="Arbeid",RIGHT(F1840,3)&lt;&gt;"IKS"),IFERROR(VLOOKUP($G1840,Tb_KostenTypen[],2,0),"tarief"),RIGHT(F1840,3)="IKS","Uurtarief",LEFT(F1840,6)="Arbeid","Uurtarief",AND(LEFT(F1840,8)="Bijdrage",RIGHT(F1840,15)="(vrijwilligers)"),"Vast tarief"),"")</f>
        <v/>
      </c>
      <c r="O1840" s="90"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0"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1"/>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59"/>
      <c r="Z1840" s="49"/>
      <c r="AA1840" s="37" t="str" cm="1">
        <f t="array" ref="AA1840">IFERROR(IF(INDEX(SubsidieTabel!$Q$1:$T$9,MATCH($F1840,SubsidieTabel!$Q$1:$Q$9,0),IFERROR(MATCH(Methode_Keuze,SubsidieTabel!$Q$1:$T$1,0),2))&lt;&gt;1=TRUE,"ja",""),"")</f>
        <v/>
      </c>
    </row>
    <row r="1841" spans="1:27" ht="15" customHeight="1" x14ac:dyDescent="0.25">
      <c r="A1841" s="85"/>
      <c r="B1841" s="217" t="str">
        <f>IF(A1841&lt;&gt;"",_xlfn.MAXIFS($B$1:B1840,$A$1:A1840,A1841)+1,"")</f>
        <v/>
      </c>
      <c r="C1841" s="50"/>
      <c r="D1841" s="50"/>
      <c r="E1841" s="50"/>
      <c r="F1841" s="50"/>
      <c r="G1841" s="280"/>
      <c r="H1841" s="293"/>
      <c r="I1841" s="292"/>
      <c r="J1841" s="292"/>
      <c r="K1841" s="200"/>
      <c r="L1841" s="200"/>
      <c r="M1841" s="89" t="str">
        <f>IFERROR(VLOOKUP(H1841,Lijsten!$H$1:$I$100,2,0),"")</f>
        <v/>
      </c>
      <c r="N1841" s="89" t="str" cm="1">
        <f t="array" ref="N1841">IFERROR(_xlfn.IFS(AND(LEFT(F1841,6)="Arbeid",RIGHT(F1841,3)&lt;&gt;"IKS"),IFERROR(VLOOKUP($G1841,Tb_KostenTypen[],2,0),"tarief"),RIGHT(F1841,3)="IKS","Uurtarief",LEFT(F1841,6)="Arbeid","Uurtarief",AND(LEFT(F1841,8)="Bijdrage",RIGHT(F1841,15)="(vrijwilligers)"),"Vast tarief"),"")</f>
        <v/>
      </c>
      <c r="O1841" s="90"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0"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1"/>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59"/>
      <c r="Z1841" s="49"/>
      <c r="AA1841" s="37" t="str" cm="1">
        <f t="array" ref="AA1841">IFERROR(IF(INDEX(SubsidieTabel!$Q$1:$T$9,MATCH($F1841,SubsidieTabel!$Q$1:$Q$9,0),IFERROR(MATCH(Methode_Keuze,SubsidieTabel!$Q$1:$T$1,0),2))&lt;&gt;1=TRUE,"ja",""),"")</f>
        <v/>
      </c>
    </row>
    <row r="1842" spans="1:27" ht="15" customHeight="1" x14ac:dyDescent="0.25">
      <c r="A1842" s="85"/>
      <c r="B1842" s="217" t="str">
        <f>IF(A1842&lt;&gt;"",_xlfn.MAXIFS($B$1:B1841,$A$1:A1841,A1842)+1,"")</f>
        <v/>
      </c>
      <c r="C1842" s="50"/>
      <c r="D1842" s="50"/>
      <c r="E1842" s="50"/>
      <c r="F1842" s="50"/>
      <c r="G1842" s="280"/>
      <c r="H1842" s="293"/>
      <c r="I1842" s="292"/>
      <c r="J1842" s="292"/>
      <c r="K1842" s="200"/>
      <c r="L1842" s="200"/>
      <c r="M1842" s="89" t="str">
        <f>IFERROR(VLOOKUP(H1842,Lijsten!$H$1:$I$100,2,0),"")</f>
        <v/>
      </c>
      <c r="N1842" s="89" t="str" cm="1">
        <f t="array" ref="N1842">IFERROR(_xlfn.IFS(AND(LEFT(F1842,6)="Arbeid",RIGHT(F1842,3)&lt;&gt;"IKS"),IFERROR(VLOOKUP($G1842,Tb_KostenTypen[],2,0),"tarief"),RIGHT(F1842,3)="IKS","Uurtarief",LEFT(F1842,6)="Arbeid","Uurtarief",AND(LEFT(F1842,8)="Bijdrage",RIGHT(F1842,15)="(vrijwilligers)"),"Vast tarief"),"")</f>
        <v/>
      </c>
      <c r="O1842" s="90"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0"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1"/>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59"/>
      <c r="Z1842" s="49"/>
      <c r="AA1842" s="37" t="str" cm="1">
        <f t="array" ref="AA1842">IFERROR(IF(INDEX(SubsidieTabel!$Q$1:$T$9,MATCH($F1842,SubsidieTabel!$Q$1:$Q$9,0),IFERROR(MATCH(Methode_Keuze,SubsidieTabel!$Q$1:$T$1,0),2))&lt;&gt;1=TRUE,"ja",""),"")</f>
        <v/>
      </c>
    </row>
    <row r="1843" spans="1:27" ht="15" customHeight="1" x14ac:dyDescent="0.25">
      <c r="A1843" s="85"/>
      <c r="B1843" s="217" t="str">
        <f>IF(A1843&lt;&gt;"",_xlfn.MAXIFS($B$1:B1842,$A$1:A1842,A1843)+1,"")</f>
        <v/>
      </c>
      <c r="C1843" s="50"/>
      <c r="D1843" s="50"/>
      <c r="E1843" s="50"/>
      <c r="F1843" s="50"/>
      <c r="G1843" s="280"/>
      <c r="H1843" s="293"/>
      <c r="I1843" s="292"/>
      <c r="J1843" s="292"/>
      <c r="K1843" s="200"/>
      <c r="L1843" s="200"/>
      <c r="M1843" s="89" t="str">
        <f>IFERROR(VLOOKUP(H1843,Lijsten!$H$1:$I$100,2,0),"")</f>
        <v/>
      </c>
      <c r="N1843" s="89" t="str" cm="1">
        <f t="array" ref="N1843">IFERROR(_xlfn.IFS(AND(LEFT(F1843,6)="Arbeid",RIGHT(F1843,3)&lt;&gt;"IKS"),IFERROR(VLOOKUP($G1843,Tb_KostenTypen[],2,0),"tarief"),RIGHT(F1843,3)="IKS","Uurtarief",LEFT(F1843,6)="Arbeid","Uurtarief",AND(LEFT(F1843,8)="Bijdrage",RIGHT(F1843,15)="(vrijwilligers)"),"Vast tarief"),"")</f>
        <v/>
      </c>
      <c r="O1843" s="90"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0"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1"/>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59"/>
      <c r="Z1843" s="49"/>
      <c r="AA1843" s="37" t="str" cm="1">
        <f t="array" ref="AA1843">IFERROR(IF(INDEX(SubsidieTabel!$Q$1:$T$9,MATCH($F1843,SubsidieTabel!$Q$1:$Q$9,0),IFERROR(MATCH(Methode_Keuze,SubsidieTabel!$Q$1:$T$1,0),2))&lt;&gt;1=TRUE,"ja",""),"")</f>
        <v/>
      </c>
    </row>
    <row r="1844" spans="1:27" ht="15" customHeight="1" x14ac:dyDescent="0.25">
      <c r="A1844" s="85"/>
      <c r="B1844" s="217" t="str">
        <f>IF(A1844&lt;&gt;"",_xlfn.MAXIFS($B$1:B1843,$A$1:A1843,A1844)+1,"")</f>
        <v/>
      </c>
      <c r="C1844" s="50"/>
      <c r="D1844" s="50"/>
      <c r="E1844" s="50"/>
      <c r="F1844" s="50"/>
      <c r="G1844" s="280"/>
      <c r="H1844" s="293"/>
      <c r="I1844" s="292"/>
      <c r="J1844" s="292"/>
      <c r="K1844" s="200"/>
      <c r="L1844" s="200"/>
      <c r="M1844" s="89" t="str">
        <f>IFERROR(VLOOKUP(H1844,Lijsten!$H$1:$I$100,2,0),"")</f>
        <v/>
      </c>
      <c r="N1844" s="89" t="str" cm="1">
        <f t="array" ref="N1844">IFERROR(_xlfn.IFS(AND(LEFT(F1844,6)="Arbeid",RIGHT(F1844,3)&lt;&gt;"IKS"),IFERROR(VLOOKUP($G1844,Tb_KostenTypen[],2,0),"tarief"),RIGHT(F1844,3)="IKS","Uurtarief",LEFT(F1844,6)="Arbeid","Uurtarief",AND(LEFT(F1844,8)="Bijdrage",RIGHT(F1844,15)="(vrijwilligers)"),"Vast tarief"),"")</f>
        <v/>
      </c>
      <c r="O1844" s="90"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0"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1"/>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59"/>
      <c r="Z1844" s="49"/>
      <c r="AA1844" s="37" t="str" cm="1">
        <f t="array" ref="AA1844">IFERROR(IF(INDEX(SubsidieTabel!$Q$1:$T$9,MATCH($F1844,SubsidieTabel!$Q$1:$Q$9,0),IFERROR(MATCH(Methode_Keuze,SubsidieTabel!$Q$1:$T$1,0),2))&lt;&gt;1=TRUE,"ja",""),"")</f>
        <v/>
      </c>
    </row>
    <row r="1845" spans="1:27" ht="15" customHeight="1" x14ac:dyDescent="0.25">
      <c r="A1845" s="85"/>
      <c r="B1845" s="217" t="str">
        <f>IF(A1845&lt;&gt;"",_xlfn.MAXIFS($B$1:B1844,$A$1:A1844,A1845)+1,"")</f>
        <v/>
      </c>
      <c r="C1845" s="50"/>
      <c r="D1845" s="50"/>
      <c r="E1845" s="50"/>
      <c r="F1845" s="50"/>
      <c r="G1845" s="280"/>
      <c r="H1845" s="293"/>
      <c r="I1845" s="292"/>
      <c r="J1845" s="292"/>
      <c r="K1845" s="200"/>
      <c r="L1845" s="200"/>
      <c r="M1845" s="89" t="str">
        <f>IFERROR(VLOOKUP(H1845,Lijsten!$H$1:$I$100,2,0),"")</f>
        <v/>
      </c>
      <c r="N1845" s="89" t="str" cm="1">
        <f t="array" ref="N1845">IFERROR(_xlfn.IFS(AND(LEFT(F1845,6)="Arbeid",RIGHT(F1845,3)&lt;&gt;"IKS"),IFERROR(VLOOKUP($G1845,Tb_KostenTypen[],2,0),"tarief"),RIGHT(F1845,3)="IKS","Uurtarief",LEFT(F1845,6)="Arbeid","Uurtarief",AND(LEFT(F1845,8)="Bijdrage",RIGHT(F1845,15)="(vrijwilligers)"),"Vast tarief"),"")</f>
        <v/>
      </c>
      <c r="O1845" s="90"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0"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1"/>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59"/>
      <c r="Z1845" s="49"/>
      <c r="AA1845" s="37" t="str" cm="1">
        <f t="array" ref="AA1845">IFERROR(IF(INDEX(SubsidieTabel!$Q$1:$T$9,MATCH($F1845,SubsidieTabel!$Q$1:$Q$9,0),IFERROR(MATCH(Methode_Keuze,SubsidieTabel!$Q$1:$T$1,0),2))&lt;&gt;1=TRUE,"ja",""),"")</f>
        <v/>
      </c>
    </row>
    <row r="1846" spans="1:27" ht="15" customHeight="1" x14ac:dyDescent="0.25">
      <c r="A1846" s="85"/>
      <c r="B1846" s="217" t="str">
        <f>IF(A1846&lt;&gt;"",_xlfn.MAXIFS($B$1:B1845,$A$1:A1845,A1846)+1,"")</f>
        <v/>
      </c>
      <c r="C1846" s="50"/>
      <c r="D1846" s="50"/>
      <c r="E1846" s="50"/>
      <c r="F1846" s="50"/>
      <c r="G1846" s="280"/>
      <c r="H1846" s="293"/>
      <c r="I1846" s="292"/>
      <c r="J1846" s="292"/>
      <c r="K1846" s="200"/>
      <c r="L1846" s="200"/>
      <c r="M1846" s="89" t="str">
        <f>IFERROR(VLOOKUP(H1846,Lijsten!$H$1:$I$100,2,0),"")</f>
        <v/>
      </c>
      <c r="N1846" s="89" t="str" cm="1">
        <f t="array" ref="N1846">IFERROR(_xlfn.IFS(AND(LEFT(F1846,6)="Arbeid",RIGHT(F1846,3)&lt;&gt;"IKS"),IFERROR(VLOOKUP($G1846,Tb_KostenTypen[],2,0),"tarief"),RIGHT(F1846,3)="IKS","Uurtarief",LEFT(F1846,6)="Arbeid","Uurtarief",AND(LEFT(F1846,8)="Bijdrage",RIGHT(F1846,15)="(vrijwilligers)"),"Vast tarief"),"")</f>
        <v/>
      </c>
      <c r="O1846" s="90"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0"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1"/>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59"/>
      <c r="Z1846" s="49"/>
      <c r="AA1846" s="37" t="str" cm="1">
        <f t="array" ref="AA1846">IFERROR(IF(INDEX(SubsidieTabel!$Q$1:$T$9,MATCH($F1846,SubsidieTabel!$Q$1:$Q$9,0),IFERROR(MATCH(Methode_Keuze,SubsidieTabel!$Q$1:$T$1,0),2))&lt;&gt;1=TRUE,"ja",""),"")</f>
        <v/>
      </c>
    </row>
    <row r="1847" spans="1:27" ht="15" customHeight="1" x14ac:dyDescent="0.25">
      <c r="A1847" s="85"/>
      <c r="B1847" s="217" t="str">
        <f>IF(A1847&lt;&gt;"",_xlfn.MAXIFS($B$1:B1846,$A$1:A1846,A1847)+1,"")</f>
        <v/>
      </c>
      <c r="C1847" s="50"/>
      <c r="D1847" s="50"/>
      <c r="E1847" s="50"/>
      <c r="F1847" s="50"/>
      <c r="G1847" s="280"/>
      <c r="H1847" s="293"/>
      <c r="I1847" s="292"/>
      <c r="J1847" s="292"/>
      <c r="K1847" s="200"/>
      <c r="L1847" s="200"/>
      <c r="M1847" s="89" t="str">
        <f>IFERROR(VLOOKUP(H1847,Lijsten!$H$1:$I$100,2,0),"")</f>
        <v/>
      </c>
      <c r="N1847" s="89" t="str" cm="1">
        <f t="array" ref="N1847">IFERROR(_xlfn.IFS(AND(LEFT(F1847,6)="Arbeid",RIGHT(F1847,3)&lt;&gt;"IKS"),IFERROR(VLOOKUP($G1847,Tb_KostenTypen[],2,0),"tarief"),RIGHT(F1847,3)="IKS","Uurtarief",LEFT(F1847,6)="Arbeid","Uurtarief",AND(LEFT(F1847,8)="Bijdrage",RIGHT(F1847,15)="(vrijwilligers)"),"Vast tarief"),"")</f>
        <v/>
      </c>
      <c r="O1847" s="90"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0"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1"/>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59"/>
      <c r="Z1847" s="49"/>
      <c r="AA1847" s="37" t="str" cm="1">
        <f t="array" ref="AA1847">IFERROR(IF(INDEX(SubsidieTabel!$Q$1:$T$9,MATCH($F1847,SubsidieTabel!$Q$1:$Q$9,0),IFERROR(MATCH(Methode_Keuze,SubsidieTabel!$Q$1:$T$1,0),2))&lt;&gt;1=TRUE,"ja",""),"")</f>
        <v/>
      </c>
    </row>
    <row r="1848" spans="1:27" ht="15" customHeight="1" x14ac:dyDescent="0.25">
      <c r="A1848" s="85"/>
      <c r="B1848" s="217" t="str">
        <f>IF(A1848&lt;&gt;"",_xlfn.MAXIFS($B$1:B1847,$A$1:A1847,A1848)+1,"")</f>
        <v/>
      </c>
      <c r="C1848" s="50"/>
      <c r="D1848" s="50"/>
      <c r="E1848" s="50"/>
      <c r="F1848" s="50"/>
      <c r="G1848" s="280"/>
      <c r="H1848" s="293"/>
      <c r="I1848" s="292"/>
      <c r="J1848" s="292"/>
      <c r="K1848" s="200"/>
      <c r="L1848" s="200"/>
      <c r="M1848" s="89" t="str">
        <f>IFERROR(VLOOKUP(H1848,Lijsten!$H$1:$I$100,2,0),"")</f>
        <v/>
      </c>
      <c r="N1848" s="89" t="str" cm="1">
        <f t="array" ref="N1848">IFERROR(_xlfn.IFS(AND(LEFT(F1848,6)="Arbeid",RIGHT(F1848,3)&lt;&gt;"IKS"),IFERROR(VLOOKUP($G1848,Tb_KostenTypen[],2,0),"tarief"),RIGHT(F1848,3)="IKS","Uurtarief",LEFT(F1848,6)="Arbeid","Uurtarief",AND(LEFT(F1848,8)="Bijdrage",RIGHT(F1848,15)="(vrijwilligers)"),"Vast tarief"),"")</f>
        <v/>
      </c>
      <c r="O1848" s="90"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0"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1"/>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59"/>
      <c r="Z1848" s="49"/>
      <c r="AA1848" s="37" t="str" cm="1">
        <f t="array" ref="AA1848">IFERROR(IF(INDEX(SubsidieTabel!$Q$1:$T$9,MATCH($F1848,SubsidieTabel!$Q$1:$Q$9,0),IFERROR(MATCH(Methode_Keuze,SubsidieTabel!$Q$1:$T$1,0),2))&lt;&gt;1=TRUE,"ja",""),"")</f>
        <v/>
      </c>
    </row>
    <row r="1849" spans="1:27" ht="15" customHeight="1" x14ac:dyDescent="0.25">
      <c r="A1849" s="85"/>
      <c r="B1849" s="217" t="str">
        <f>IF(A1849&lt;&gt;"",_xlfn.MAXIFS($B$1:B1848,$A$1:A1848,A1849)+1,"")</f>
        <v/>
      </c>
      <c r="C1849" s="50"/>
      <c r="D1849" s="50"/>
      <c r="E1849" s="50"/>
      <c r="F1849" s="50"/>
      <c r="G1849" s="280"/>
      <c r="H1849" s="293"/>
      <c r="I1849" s="292"/>
      <c r="J1849" s="292"/>
      <c r="K1849" s="200"/>
      <c r="L1849" s="200"/>
      <c r="M1849" s="89" t="str">
        <f>IFERROR(VLOOKUP(H1849,Lijsten!$H$1:$I$100,2,0),"")</f>
        <v/>
      </c>
      <c r="N1849" s="89" t="str" cm="1">
        <f t="array" ref="N1849">IFERROR(_xlfn.IFS(AND(LEFT(F1849,6)="Arbeid",RIGHT(F1849,3)&lt;&gt;"IKS"),IFERROR(VLOOKUP($G1849,Tb_KostenTypen[],2,0),"tarief"),RIGHT(F1849,3)="IKS","Uurtarief",LEFT(F1849,6)="Arbeid","Uurtarief",AND(LEFT(F1849,8)="Bijdrage",RIGHT(F1849,15)="(vrijwilligers)"),"Vast tarief"),"")</f>
        <v/>
      </c>
      <c r="O1849" s="90"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0"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1"/>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59"/>
      <c r="Z1849" s="49"/>
      <c r="AA1849" s="37" t="str" cm="1">
        <f t="array" ref="AA1849">IFERROR(IF(INDEX(SubsidieTabel!$Q$1:$T$9,MATCH($F1849,SubsidieTabel!$Q$1:$Q$9,0),IFERROR(MATCH(Methode_Keuze,SubsidieTabel!$Q$1:$T$1,0),2))&lt;&gt;1=TRUE,"ja",""),"")</f>
        <v/>
      </c>
    </row>
    <row r="1850" spans="1:27" ht="15" customHeight="1" x14ac:dyDescent="0.25">
      <c r="A1850" s="85"/>
      <c r="B1850" s="217" t="str">
        <f>IF(A1850&lt;&gt;"",_xlfn.MAXIFS($B$1:B1849,$A$1:A1849,A1850)+1,"")</f>
        <v/>
      </c>
      <c r="C1850" s="50"/>
      <c r="D1850" s="50"/>
      <c r="E1850" s="50"/>
      <c r="F1850" s="50"/>
      <c r="G1850" s="280"/>
      <c r="H1850" s="293"/>
      <c r="I1850" s="292"/>
      <c r="J1850" s="292"/>
      <c r="K1850" s="200"/>
      <c r="L1850" s="200"/>
      <c r="M1850" s="89" t="str">
        <f>IFERROR(VLOOKUP(H1850,Lijsten!$H$1:$I$100,2,0),"")</f>
        <v/>
      </c>
      <c r="N1850" s="89" t="str" cm="1">
        <f t="array" ref="N1850">IFERROR(_xlfn.IFS(AND(LEFT(F1850,6)="Arbeid",RIGHT(F1850,3)&lt;&gt;"IKS"),IFERROR(VLOOKUP($G1850,Tb_KostenTypen[],2,0),"tarief"),RIGHT(F1850,3)="IKS","Uurtarief",LEFT(F1850,6)="Arbeid","Uurtarief",AND(LEFT(F1850,8)="Bijdrage",RIGHT(F1850,15)="(vrijwilligers)"),"Vast tarief"),"")</f>
        <v/>
      </c>
      <c r="O1850" s="90"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0"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1"/>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59"/>
      <c r="Z1850" s="49"/>
      <c r="AA1850" s="37" t="str" cm="1">
        <f t="array" ref="AA1850">IFERROR(IF(INDEX(SubsidieTabel!$Q$1:$T$9,MATCH($F1850,SubsidieTabel!$Q$1:$Q$9,0),IFERROR(MATCH(Methode_Keuze,SubsidieTabel!$Q$1:$T$1,0),2))&lt;&gt;1=TRUE,"ja",""),"")</f>
        <v/>
      </c>
    </row>
    <row r="1851" spans="1:27" ht="15" customHeight="1" x14ac:dyDescent="0.25">
      <c r="A1851" s="85"/>
      <c r="B1851" s="217" t="str">
        <f>IF(A1851&lt;&gt;"",_xlfn.MAXIFS($B$1:B1850,$A$1:A1850,A1851)+1,"")</f>
        <v/>
      </c>
      <c r="C1851" s="50"/>
      <c r="D1851" s="50"/>
      <c r="E1851" s="50"/>
      <c r="F1851" s="50"/>
      <c r="G1851" s="280"/>
      <c r="H1851" s="293"/>
      <c r="I1851" s="292"/>
      <c r="J1851" s="292"/>
      <c r="K1851" s="200"/>
      <c r="L1851" s="200"/>
      <c r="M1851" s="89" t="str">
        <f>IFERROR(VLOOKUP(H1851,Lijsten!$H$1:$I$100,2,0),"")</f>
        <v/>
      </c>
      <c r="N1851" s="89" t="str" cm="1">
        <f t="array" ref="N1851">IFERROR(_xlfn.IFS(AND(LEFT(F1851,6)="Arbeid",RIGHT(F1851,3)&lt;&gt;"IKS"),IFERROR(VLOOKUP($G1851,Tb_KostenTypen[],2,0),"tarief"),RIGHT(F1851,3)="IKS","Uurtarief",LEFT(F1851,6)="Arbeid","Uurtarief",AND(LEFT(F1851,8)="Bijdrage",RIGHT(F1851,15)="(vrijwilligers)"),"Vast tarief"),"")</f>
        <v/>
      </c>
      <c r="O1851" s="90"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0"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1"/>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59"/>
      <c r="Z1851" s="49"/>
      <c r="AA1851" s="37" t="str" cm="1">
        <f t="array" ref="AA1851">IFERROR(IF(INDEX(SubsidieTabel!$Q$1:$T$9,MATCH($F1851,SubsidieTabel!$Q$1:$Q$9,0),IFERROR(MATCH(Methode_Keuze,SubsidieTabel!$Q$1:$T$1,0),2))&lt;&gt;1=TRUE,"ja",""),"")</f>
        <v/>
      </c>
    </row>
    <row r="1852" spans="1:27" ht="15" customHeight="1" x14ac:dyDescent="0.25">
      <c r="A1852" s="85"/>
      <c r="B1852" s="217" t="str">
        <f>IF(A1852&lt;&gt;"",_xlfn.MAXIFS($B$1:B1851,$A$1:A1851,A1852)+1,"")</f>
        <v/>
      </c>
      <c r="C1852" s="50"/>
      <c r="D1852" s="50"/>
      <c r="E1852" s="50"/>
      <c r="F1852" s="50"/>
      <c r="G1852" s="280"/>
      <c r="H1852" s="293"/>
      <c r="I1852" s="292"/>
      <c r="J1852" s="292"/>
      <c r="K1852" s="200"/>
      <c r="L1852" s="200"/>
      <c r="M1852" s="89" t="str">
        <f>IFERROR(VLOOKUP(H1852,Lijsten!$H$1:$I$100,2,0),"")</f>
        <v/>
      </c>
      <c r="N1852" s="89" t="str" cm="1">
        <f t="array" ref="N1852">IFERROR(_xlfn.IFS(AND(LEFT(F1852,6)="Arbeid",RIGHT(F1852,3)&lt;&gt;"IKS"),IFERROR(VLOOKUP($G1852,Tb_KostenTypen[],2,0),"tarief"),RIGHT(F1852,3)="IKS","Uurtarief",LEFT(F1852,6)="Arbeid","Uurtarief",AND(LEFT(F1852,8)="Bijdrage",RIGHT(F1852,15)="(vrijwilligers)"),"Vast tarief"),"")</f>
        <v/>
      </c>
      <c r="O1852" s="90"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0"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1"/>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59"/>
      <c r="Z1852" s="49"/>
      <c r="AA1852" s="37" t="str" cm="1">
        <f t="array" ref="AA1852">IFERROR(IF(INDEX(SubsidieTabel!$Q$1:$T$9,MATCH($F1852,SubsidieTabel!$Q$1:$Q$9,0),IFERROR(MATCH(Methode_Keuze,SubsidieTabel!$Q$1:$T$1,0),2))&lt;&gt;1=TRUE,"ja",""),"")</f>
        <v/>
      </c>
    </row>
    <row r="1853" spans="1:27" ht="15" customHeight="1" x14ac:dyDescent="0.25">
      <c r="A1853" s="85"/>
      <c r="B1853" s="217" t="str">
        <f>IF(A1853&lt;&gt;"",_xlfn.MAXIFS($B$1:B1852,$A$1:A1852,A1853)+1,"")</f>
        <v/>
      </c>
      <c r="C1853" s="50"/>
      <c r="D1853" s="50"/>
      <c r="E1853" s="50"/>
      <c r="F1853" s="50"/>
      <c r="G1853" s="280"/>
      <c r="H1853" s="293"/>
      <c r="I1853" s="292"/>
      <c r="J1853" s="292"/>
      <c r="K1853" s="200"/>
      <c r="L1853" s="200"/>
      <c r="M1853" s="89" t="str">
        <f>IFERROR(VLOOKUP(H1853,Lijsten!$H$1:$I$100,2,0),"")</f>
        <v/>
      </c>
      <c r="N1853" s="89" t="str" cm="1">
        <f t="array" ref="N1853">IFERROR(_xlfn.IFS(AND(LEFT(F1853,6)="Arbeid",RIGHT(F1853,3)&lt;&gt;"IKS"),IFERROR(VLOOKUP($G1853,Tb_KostenTypen[],2,0),"tarief"),RIGHT(F1853,3)="IKS","Uurtarief",LEFT(F1853,6)="Arbeid","Uurtarief",AND(LEFT(F1853,8)="Bijdrage",RIGHT(F1853,15)="(vrijwilligers)"),"Vast tarief"),"")</f>
        <v/>
      </c>
      <c r="O1853" s="90"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0"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1"/>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59"/>
      <c r="Z1853" s="49"/>
      <c r="AA1853" s="37" t="str" cm="1">
        <f t="array" ref="AA1853">IFERROR(IF(INDEX(SubsidieTabel!$Q$1:$T$9,MATCH($F1853,SubsidieTabel!$Q$1:$Q$9,0),IFERROR(MATCH(Methode_Keuze,SubsidieTabel!$Q$1:$T$1,0),2))&lt;&gt;1=TRUE,"ja",""),"")</f>
        <v/>
      </c>
    </row>
    <row r="1854" spans="1:27" ht="15" customHeight="1" x14ac:dyDescent="0.25">
      <c r="A1854" s="85"/>
      <c r="B1854" s="217" t="str">
        <f>IF(A1854&lt;&gt;"",_xlfn.MAXIFS($B$1:B1853,$A$1:A1853,A1854)+1,"")</f>
        <v/>
      </c>
      <c r="C1854" s="50"/>
      <c r="D1854" s="50"/>
      <c r="E1854" s="50"/>
      <c r="F1854" s="50"/>
      <c r="G1854" s="280"/>
      <c r="H1854" s="293"/>
      <c r="I1854" s="292"/>
      <c r="J1854" s="292"/>
      <c r="K1854" s="200"/>
      <c r="L1854" s="200"/>
      <c r="M1854" s="89" t="str">
        <f>IFERROR(VLOOKUP(H1854,Lijsten!$H$1:$I$100,2,0),"")</f>
        <v/>
      </c>
      <c r="N1854" s="89" t="str" cm="1">
        <f t="array" ref="N1854">IFERROR(_xlfn.IFS(AND(LEFT(F1854,6)="Arbeid",RIGHT(F1854,3)&lt;&gt;"IKS"),IFERROR(VLOOKUP($G1854,Tb_KostenTypen[],2,0),"tarief"),RIGHT(F1854,3)="IKS","Uurtarief",LEFT(F1854,6)="Arbeid","Uurtarief",AND(LEFT(F1854,8)="Bijdrage",RIGHT(F1854,15)="(vrijwilligers)"),"Vast tarief"),"")</f>
        <v/>
      </c>
      <c r="O1854" s="90"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0"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1"/>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59"/>
      <c r="Z1854" s="49"/>
      <c r="AA1854" s="37" t="str" cm="1">
        <f t="array" ref="AA1854">IFERROR(IF(INDEX(SubsidieTabel!$Q$1:$T$9,MATCH($F1854,SubsidieTabel!$Q$1:$Q$9,0),IFERROR(MATCH(Methode_Keuze,SubsidieTabel!$Q$1:$T$1,0),2))&lt;&gt;1=TRUE,"ja",""),"")</f>
        <v/>
      </c>
    </row>
    <row r="1855" spans="1:27" ht="15" customHeight="1" x14ac:dyDescent="0.25">
      <c r="A1855" s="85"/>
      <c r="B1855" s="217" t="str">
        <f>IF(A1855&lt;&gt;"",_xlfn.MAXIFS($B$1:B1854,$A$1:A1854,A1855)+1,"")</f>
        <v/>
      </c>
      <c r="C1855" s="50"/>
      <c r="D1855" s="50"/>
      <c r="E1855" s="50"/>
      <c r="F1855" s="50"/>
      <c r="G1855" s="280"/>
      <c r="H1855" s="293"/>
      <c r="I1855" s="292"/>
      <c r="J1855" s="292"/>
      <c r="K1855" s="200"/>
      <c r="L1855" s="200"/>
      <c r="M1855" s="89" t="str">
        <f>IFERROR(VLOOKUP(H1855,Lijsten!$H$1:$I$100,2,0),"")</f>
        <v/>
      </c>
      <c r="N1855" s="89" t="str" cm="1">
        <f t="array" ref="N1855">IFERROR(_xlfn.IFS(AND(LEFT(F1855,6)="Arbeid",RIGHT(F1855,3)&lt;&gt;"IKS"),IFERROR(VLOOKUP($G1855,Tb_KostenTypen[],2,0),"tarief"),RIGHT(F1855,3)="IKS","Uurtarief",LEFT(F1855,6)="Arbeid","Uurtarief",AND(LEFT(F1855,8)="Bijdrage",RIGHT(F1855,15)="(vrijwilligers)"),"Vast tarief"),"")</f>
        <v/>
      </c>
      <c r="O1855" s="90"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0"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1"/>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59"/>
      <c r="Z1855" s="49"/>
      <c r="AA1855" s="37" t="str" cm="1">
        <f t="array" ref="AA1855">IFERROR(IF(INDEX(SubsidieTabel!$Q$1:$T$9,MATCH($F1855,SubsidieTabel!$Q$1:$Q$9,0),IFERROR(MATCH(Methode_Keuze,SubsidieTabel!$Q$1:$T$1,0),2))&lt;&gt;1=TRUE,"ja",""),"")</f>
        <v/>
      </c>
    </row>
    <row r="1856" spans="1:27" ht="15" customHeight="1" x14ac:dyDescent="0.25">
      <c r="A1856" s="85"/>
      <c r="B1856" s="217" t="str">
        <f>IF(A1856&lt;&gt;"",_xlfn.MAXIFS($B$1:B1855,$A$1:A1855,A1856)+1,"")</f>
        <v/>
      </c>
      <c r="C1856" s="50"/>
      <c r="D1856" s="50"/>
      <c r="E1856" s="50"/>
      <c r="F1856" s="50"/>
      <c r="G1856" s="280"/>
      <c r="H1856" s="293"/>
      <c r="I1856" s="292"/>
      <c r="J1856" s="292"/>
      <c r="K1856" s="200"/>
      <c r="L1856" s="200"/>
      <c r="M1856" s="89" t="str">
        <f>IFERROR(VLOOKUP(H1856,Lijsten!$H$1:$I$100,2,0),"")</f>
        <v/>
      </c>
      <c r="N1856" s="89" t="str" cm="1">
        <f t="array" ref="N1856">IFERROR(_xlfn.IFS(AND(LEFT(F1856,6)="Arbeid",RIGHT(F1856,3)&lt;&gt;"IKS"),IFERROR(VLOOKUP($G1856,Tb_KostenTypen[],2,0),"tarief"),RIGHT(F1856,3)="IKS","Uurtarief",LEFT(F1856,6)="Arbeid","Uurtarief",AND(LEFT(F1856,8)="Bijdrage",RIGHT(F1856,15)="(vrijwilligers)"),"Vast tarief"),"")</f>
        <v/>
      </c>
      <c r="O1856" s="90"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0"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1"/>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59"/>
      <c r="Z1856" s="49"/>
      <c r="AA1856" s="37" t="str" cm="1">
        <f t="array" ref="AA1856">IFERROR(IF(INDEX(SubsidieTabel!$Q$1:$T$9,MATCH($F1856,SubsidieTabel!$Q$1:$Q$9,0),IFERROR(MATCH(Methode_Keuze,SubsidieTabel!$Q$1:$T$1,0),2))&lt;&gt;1=TRUE,"ja",""),"")</f>
        <v/>
      </c>
    </row>
    <row r="1857" spans="1:27" ht="15" customHeight="1" x14ac:dyDescent="0.25">
      <c r="A1857" s="85"/>
      <c r="B1857" s="217" t="str">
        <f>IF(A1857&lt;&gt;"",_xlfn.MAXIFS($B$1:B1856,$A$1:A1856,A1857)+1,"")</f>
        <v/>
      </c>
      <c r="C1857" s="50"/>
      <c r="D1857" s="50"/>
      <c r="E1857" s="50"/>
      <c r="F1857" s="50"/>
      <c r="G1857" s="280"/>
      <c r="H1857" s="293"/>
      <c r="I1857" s="292"/>
      <c r="J1857" s="292"/>
      <c r="K1857" s="200"/>
      <c r="L1857" s="200"/>
      <c r="M1857" s="89" t="str">
        <f>IFERROR(VLOOKUP(H1857,Lijsten!$H$1:$I$100,2,0),"")</f>
        <v/>
      </c>
      <c r="N1857" s="89" t="str" cm="1">
        <f t="array" ref="N1857">IFERROR(_xlfn.IFS(AND(LEFT(F1857,6)="Arbeid",RIGHT(F1857,3)&lt;&gt;"IKS"),IFERROR(VLOOKUP($G1857,Tb_KostenTypen[],2,0),"tarief"),RIGHT(F1857,3)="IKS","Uurtarief",LEFT(F1857,6)="Arbeid","Uurtarief",AND(LEFT(F1857,8)="Bijdrage",RIGHT(F1857,15)="(vrijwilligers)"),"Vast tarief"),"")</f>
        <v/>
      </c>
      <c r="O1857" s="90"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0"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1"/>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59"/>
      <c r="Z1857" s="49"/>
      <c r="AA1857" s="37" t="str" cm="1">
        <f t="array" ref="AA1857">IFERROR(IF(INDEX(SubsidieTabel!$Q$1:$T$9,MATCH($F1857,SubsidieTabel!$Q$1:$Q$9,0),IFERROR(MATCH(Methode_Keuze,SubsidieTabel!$Q$1:$T$1,0),2))&lt;&gt;1=TRUE,"ja",""),"")</f>
        <v/>
      </c>
    </row>
    <row r="1858" spans="1:27" ht="15" customHeight="1" x14ac:dyDescent="0.25">
      <c r="A1858" s="85"/>
      <c r="B1858" s="217" t="str">
        <f>IF(A1858&lt;&gt;"",_xlfn.MAXIFS($B$1:B1857,$A$1:A1857,A1858)+1,"")</f>
        <v/>
      </c>
      <c r="C1858" s="50"/>
      <c r="D1858" s="50"/>
      <c r="E1858" s="50"/>
      <c r="F1858" s="50"/>
      <c r="G1858" s="280"/>
      <c r="H1858" s="293"/>
      <c r="I1858" s="292"/>
      <c r="J1858" s="292"/>
      <c r="K1858" s="200"/>
      <c r="L1858" s="200"/>
      <c r="M1858" s="89" t="str">
        <f>IFERROR(VLOOKUP(H1858,Lijsten!$H$1:$I$100,2,0),"")</f>
        <v/>
      </c>
      <c r="N1858" s="89" t="str" cm="1">
        <f t="array" ref="N1858">IFERROR(_xlfn.IFS(AND(LEFT(F1858,6)="Arbeid",RIGHT(F1858,3)&lt;&gt;"IKS"),IFERROR(VLOOKUP($G1858,Tb_KostenTypen[],2,0),"tarief"),RIGHT(F1858,3)="IKS","Uurtarief",LEFT(F1858,6)="Arbeid","Uurtarief",AND(LEFT(F1858,8)="Bijdrage",RIGHT(F1858,15)="(vrijwilligers)"),"Vast tarief"),"")</f>
        <v/>
      </c>
      <c r="O1858" s="90"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0"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1"/>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59"/>
      <c r="Z1858" s="49"/>
      <c r="AA1858" s="37" t="str" cm="1">
        <f t="array" ref="AA1858">IFERROR(IF(INDEX(SubsidieTabel!$Q$1:$T$9,MATCH($F1858,SubsidieTabel!$Q$1:$Q$9,0),IFERROR(MATCH(Methode_Keuze,SubsidieTabel!$Q$1:$T$1,0),2))&lt;&gt;1=TRUE,"ja",""),"")</f>
        <v/>
      </c>
    </row>
    <row r="1859" spans="1:27" ht="15" customHeight="1" x14ac:dyDescent="0.25">
      <c r="A1859" s="85"/>
      <c r="B1859" s="217" t="str">
        <f>IF(A1859&lt;&gt;"",_xlfn.MAXIFS($B$1:B1858,$A$1:A1858,A1859)+1,"")</f>
        <v/>
      </c>
      <c r="C1859" s="50"/>
      <c r="D1859" s="50"/>
      <c r="E1859" s="50"/>
      <c r="F1859" s="50"/>
      <c r="G1859" s="280"/>
      <c r="H1859" s="293"/>
      <c r="I1859" s="292"/>
      <c r="J1859" s="292"/>
      <c r="K1859" s="200"/>
      <c r="L1859" s="200"/>
      <c r="M1859" s="89" t="str">
        <f>IFERROR(VLOOKUP(H1859,Lijsten!$H$1:$I$100,2,0),"")</f>
        <v/>
      </c>
      <c r="N1859" s="89" t="str" cm="1">
        <f t="array" ref="N1859">IFERROR(_xlfn.IFS(AND(LEFT(F1859,6)="Arbeid",RIGHT(F1859,3)&lt;&gt;"IKS"),IFERROR(VLOOKUP($G1859,Tb_KostenTypen[],2,0),"tarief"),RIGHT(F1859,3)="IKS","Uurtarief",LEFT(F1859,6)="Arbeid","Uurtarief",AND(LEFT(F1859,8)="Bijdrage",RIGHT(F1859,15)="(vrijwilligers)"),"Vast tarief"),"")</f>
        <v/>
      </c>
      <c r="O1859" s="90"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0"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1"/>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59"/>
      <c r="Z1859" s="49"/>
      <c r="AA1859" s="37" t="str" cm="1">
        <f t="array" ref="AA1859">IFERROR(IF(INDEX(SubsidieTabel!$Q$1:$T$9,MATCH($F1859,SubsidieTabel!$Q$1:$Q$9,0),IFERROR(MATCH(Methode_Keuze,SubsidieTabel!$Q$1:$T$1,0),2))&lt;&gt;1=TRUE,"ja",""),"")</f>
        <v/>
      </c>
    </row>
    <row r="1860" spans="1:27" ht="15" customHeight="1" x14ac:dyDescent="0.25">
      <c r="A1860" s="85"/>
      <c r="B1860" s="217" t="str">
        <f>IF(A1860&lt;&gt;"",_xlfn.MAXIFS($B$1:B1859,$A$1:A1859,A1860)+1,"")</f>
        <v/>
      </c>
      <c r="C1860" s="50"/>
      <c r="D1860" s="50"/>
      <c r="E1860" s="50"/>
      <c r="F1860" s="50"/>
      <c r="G1860" s="280"/>
      <c r="H1860" s="293"/>
      <c r="I1860" s="292"/>
      <c r="J1860" s="292"/>
      <c r="K1860" s="200"/>
      <c r="L1860" s="200"/>
      <c r="M1860" s="89" t="str">
        <f>IFERROR(VLOOKUP(H1860,Lijsten!$H$1:$I$100,2,0),"")</f>
        <v/>
      </c>
      <c r="N1860" s="89" t="str" cm="1">
        <f t="array" ref="N1860">IFERROR(_xlfn.IFS(AND(LEFT(F1860,6)="Arbeid",RIGHT(F1860,3)&lt;&gt;"IKS"),IFERROR(VLOOKUP($G1860,Tb_KostenTypen[],2,0),"tarief"),RIGHT(F1860,3)="IKS","Uurtarief",LEFT(F1860,6)="Arbeid","Uurtarief",AND(LEFT(F1860,8)="Bijdrage",RIGHT(F1860,15)="(vrijwilligers)"),"Vast tarief"),"")</f>
        <v/>
      </c>
      <c r="O1860" s="90"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0"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1"/>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59"/>
      <c r="Z1860" s="49"/>
      <c r="AA1860" s="37" t="str" cm="1">
        <f t="array" ref="AA1860">IFERROR(IF(INDEX(SubsidieTabel!$Q$1:$T$9,MATCH($F1860,SubsidieTabel!$Q$1:$Q$9,0),IFERROR(MATCH(Methode_Keuze,SubsidieTabel!$Q$1:$T$1,0),2))&lt;&gt;1=TRUE,"ja",""),"")</f>
        <v/>
      </c>
    </row>
    <row r="1861" spans="1:27" ht="15" customHeight="1" x14ac:dyDescent="0.25">
      <c r="A1861" s="85"/>
      <c r="B1861" s="217" t="str">
        <f>IF(A1861&lt;&gt;"",_xlfn.MAXIFS($B$1:B1860,$A$1:A1860,A1861)+1,"")</f>
        <v/>
      </c>
      <c r="C1861" s="50"/>
      <c r="D1861" s="50"/>
      <c r="E1861" s="50"/>
      <c r="F1861" s="50"/>
      <c r="G1861" s="280"/>
      <c r="H1861" s="293"/>
      <c r="I1861" s="292"/>
      <c r="J1861" s="292"/>
      <c r="K1861" s="200"/>
      <c r="L1861" s="200"/>
      <c r="M1861" s="89" t="str">
        <f>IFERROR(VLOOKUP(H1861,Lijsten!$H$1:$I$100,2,0),"")</f>
        <v/>
      </c>
      <c r="N1861" s="89" t="str" cm="1">
        <f t="array" ref="N1861">IFERROR(_xlfn.IFS(AND(LEFT(F1861,6)="Arbeid",RIGHT(F1861,3)&lt;&gt;"IKS"),IFERROR(VLOOKUP($G1861,Tb_KostenTypen[],2,0),"tarief"),RIGHT(F1861,3)="IKS","Uurtarief",LEFT(F1861,6)="Arbeid","Uurtarief",AND(LEFT(F1861,8)="Bijdrage",RIGHT(F1861,15)="(vrijwilligers)"),"Vast tarief"),"")</f>
        <v/>
      </c>
      <c r="O1861" s="90"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0"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1"/>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59"/>
      <c r="Z1861" s="49"/>
      <c r="AA1861" s="37" t="str" cm="1">
        <f t="array" ref="AA1861">IFERROR(IF(INDEX(SubsidieTabel!$Q$1:$T$9,MATCH($F1861,SubsidieTabel!$Q$1:$Q$9,0),IFERROR(MATCH(Methode_Keuze,SubsidieTabel!$Q$1:$T$1,0),2))&lt;&gt;1=TRUE,"ja",""),"")</f>
        <v/>
      </c>
    </row>
    <row r="1862" spans="1:27" ht="15" customHeight="1" x14ac:dyDescent="0.25">
      <c r="A1862" s="85"/>
      <c r="B1862" s="217" t="str">
        <f>IF(A1862&lt;&gt;"",_xlfn.MAXIFS($B$1:B1861,$A$1:A1861,A1862)+1,"")</f>
        <v/>
      </c>
      <c r="C1862" s="50"/>
      <c r="D1862" s="50"/>
      <c r="E1862" s="50"/>
      <c r="F1862" s="50"/>
      <c r="G1862" s="280"/>
      <c r="H1862" s="293"/>
      <c r="I1862" s="292"/>
      <c r="J1862" s="292"/>
      <c r="K1862" s="200"/>
      <c r="L1862" s="200"/>
      <c r="M1862" s="89" t="str">
        <f>IFERROR(VLOOKUP(H1862,Lijsten!$H$1:$I$100,2,0),"")</f>
        <v/>
      </c>
      <c r="N1862" s="89" t="str" cm="1">
        <f t="array" ref="N1862">IFERROR(_xlfn.IFS(AND(LEFT(F1862,6)="Arbeid",RIGHT(F1862,3)&lt;&gt;"IKS"),IFERROR(VLOOKUP($G1862,Tb_KostenTypen[],2,0),"tarief"),RIGHT(F1862,3)="IKS","Uurtarief",LEFT(F1862,6)="Arbeid","Uurtarief",AND(LEFT(F1862,8)="Bijdrage",RIGHT(F1862,15)="(vrijwilligers)"),"Vast tarief"),"")</f>
        <v/>
      </c>
      <c r="O1862" s="90"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0"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1"/>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59"/>
      <c r="Z1862" s="49"/>
      <c r="AA1862" s="37" t="str" cm="1">
        <f t="array" ref="AA1862">IFERROR(IF(INDEX(SubsidieTabel!$Q$1:$T$9,MATCH($F1862,SubsidieTabel!$Q$1:$Q$9,0),IFERROR(MATCH(Methode_Keuze,SubsidieTabel!$Q$1:$T$1,0),2))&lt;&gt;1=TRUE,"ja",""),"")</f>
        <v/>
      </c>
    </row>
    <row r="1863" spans="1:27" ht="15" customHeight="1" x14ac:dyDescent="0.25">
      <c r="A1863" s="85"/>
      <c r="B1863" s="217" t="str">
        <f>IF(A1863&lt;&gt;"",_xlfn.MAXIFS($B$1:B1862,$A$1:A1862,A1863)+1,"")</f>
        <v/>
      </c>
      <c r="C1863" s="50"/>
      <c r="D1863" s="50"/>
      <c r="E1863" s="50"/>
      <c r="F1863" s="50"/>
      <c r="G1863" s="280"/>
      <c r="H1863" s="293"/>
      <c r="I1863" s="292"/>
      <c r="J1863" s="292"/>
      <c r="K1863" s="200"/>
      <c r="L1863" s="200"/>
      <c r="M1863" s="89" t="str">
        <f>IFERROR(VLOOKUP(H1863,Lijsten!$H$1:$I$100,2,0),"")</f>
        <v/>
      </c>
      <c r="N1863" s="89" t="str" cm="1">
        <f t="array" ref="N1863">IFERROR(_xlfn.IFS(AND(LEFT(F1863,6)="Arbeid",RIGHT(F1863,3)&lt;&gt;"IKS"),IFERROR(VLOOKUP($G1863,Tb_KostenTypen[],2,0),"tarief"),RIGHT(F1863,3)="IKS","Uurtarief",LEFT(F1863,6)="Arbeid","Uurtarief",AND(LEFT(F1863,8)="Bijdrage",RIGHT(F1863,15)="(vrijwilligers)"),"Vast tarief"),"")</f>
        <v/>
      </c>
      <c r="O1863" s="90"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0"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1"/>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59"/>
      <c r="Z1863" s="49"/>
      <c r="AA1863" s="37" t="str" cm="1">
        <f t="array" ref="AA1863">IFERROR(IF(INDEX(SubsidieTabel!$Q$1:$T$9,MATCH($F1863,SubsidieTabel!$Q$1:$Q$9,0),IFERROR(MATCH(Methode_Keuze,SubsidieTabel!$Q$1:$T$1,0),2))&lt;&gt;1=TRUE,"ja",""),"")</f>
        <v/>
      </c>
    </row>
    <row r="1864" spans="1:27" ht="15" customHeight="1" x14ac:dyDescent="0.25">
      <c r="A1864" s="85"/>
      <c r="B1864" s="217" t="str">
        <f>IF(A1864&lt;&gt;"",_xlfn.MAXIFS($B$1:B1863,$A$1:A1863,A1864)+1,"")</f>
        <v/>
      </c>
      <c r="C1864" s="50"/>
      <c r="D1864" s="50"/>
      <c r="E1864" s="50"/>
      <c r="F1864" s="50"/>
      <c r="G1864" s="280"/>
      <c r="H1864" s="293"/>
      <c r="I1864" s="292"/>
      <c r="J1864" s="292"/>
      <c r="K1864" s="200"/>
      <c r="L1864" s="200"/>
      <c r="M1864" s="89" t="str">
        <f>IFERROR(VLOOKUP(H1864,Lijsten!$H$1:$I$100,2,0),"")</f>
        <v/>
      </c>
      <c r="N1864" s="89" t="str" cm="1">
        <f t="array" ref="N1864">IFERROR(_xlfn.IFS(AND(LEFT(F1864,6)="Arbeid",RIGHT(F1864,3)&lt;&gt;"IKS"),IFERROR(VLOOKUP($G1864,Tb_KostenTypen[],2,0),"tarief"),RIGHT(F1864,3)="IKS","Uurtarief",LEFT(F1864,6)="Arbeid","Uurtarief",AND(LEFT(F1864,8)="Bijdrage",RIGHT(F1864,15)="(vrijwilligers)"),"Vast tarief"),"")</f>
        <v/>
      </c>
      <c r="O1864" s="90"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0"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1"/>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59"/>
      <c r="Z1864" s="49"/>
      <c r="AA1864" s="37" t="str" cm="1">
        <f t="array" ref="AA1864">IFERROR(IF(INDEX(SubsidieTabel!$Q$1:$T$9,MATCH($F1864,SubsidieTabel!$Q$1:$Q$9,0),IFERROR(MATCH(Methode_Keuze,SubsidieTabel!$Q$1:$T$1,0),2))&lt;&gt;1=TRUE,"ja",""),"")</f>
        <v/>
      </c>
    </row>
    <row r="1865" spans="1:27" ht="15" customHeight="1" x14ac:dyDescent="0.25">
      <c r="A1865" s="85"/>
      <c r="B1865" s="217" t="str">
        <f>IF(A1865&lt;&gt;"",_xlfn.MAXIFS($B$1:B1864,$A$1:A1864,A1865)+1,"")</f>
        <v/>
      </c>
      <c r="C1865" s="50"/>
      <c r="D1865" s="50"/>
      <c r="E1865" s="50"/>
      <c r="F1865" s="50"/>
      <c r="G1865" s="280"/>
      <c r="H1865" s="293"/>
      <c r="I1865" s="292"/>
      <c r="J1865" s="292"/>
      <c r="K1865" s="200"/>
      <c r="L1865" s="200"/>
      <c r="M1865" s="89" t="str">
        <f>IFERROR(VLOOKUP(H1865,Lijsten!$H$1:$I$100,2,0),"")</f>
        <v/>
      </c>
      <c r="N1865" s="89" t="str" cm="1">
        <f t="array" ref="N1865">IFERROR(_xlfn.IFS(AND(LEFT(F1865,6)="Arbeid",RIGHT(F1865,3)&lt;&gt;"IKS"),IFERROR(VLOOKUP($G1865,Tb_KostenTypen[],2,0),"tarief"),RIGHT(F1865,3)="IKS","Uurtarief",LEFT(F1865,6)="Arbeid","Uurtarief",AND(LEFT(F1865,8)="Bijdrage",RIGHT(F1865,15)="(vrijwilligers)"),"Vast tarief"),"")</f>
        <v/>
      </c>
      <c r="O1865" s="90"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0"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1"/>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59"/>
      <c r="Z1865" s="49"/>
      <c r="AA1865" s="37" t="str" cm="1">
        <f t="array" ref="AA1865">IFERROR(IF(INDEX(SubsidieTabel!$Q$1:$T$9,MATCH($F1865,SubsidieTabel!$Q$1:$Q$9,0),IFERROR(MATCH(Methode_Keuze,SubsidieTabel!$Q$1:$T$1,0),2))&lt;&gt;1=TRUE,"ja",""),"")</f>
        <v/>
      </c>
    </row>
    <row r="1866" spans="1:27" ht="15" customHeight="1" x14ac:dyDescent="0.25">
      <c r="A1866" s="85"/>
      <c r="B1866" s="217" t="str">
        <f>IF(A1866&lt;&gt;"",_xlfn.MAXIFS($B$1:B1865,$A$1:A1865,A1866)+1,"")</f>
        <v/>
      </c>
      <c r="C1866" s="50"/>
      <c r="D1866" s="50"/>
      <c r="E1866" s="50"/>
      <c r="F1866" s="50"/>
      <c r="G1866" s="280"/>
      <c r="H1866" s="293"/>
      <c r="I1866" s="292"/>
      <c r="J1866" s="292"/>
      <c r="K1866" s="200"/>
      <c r="L1866" s="200"/>
      <c r="M1866" s="89" t="str">
        <f>IFERROR(VLOOKUP(H1866,Lijsten!$H$1:$I$100,2,0),"")</f>
        <v/>
      </c>
      <c r="N1866" s="89" t="str" cm="1">
        <f t="array" ref="N1866">IFERROR(_xlfn.IFS(AND(LEFT(F1866,6)="Arbeid",RIGHT(F1866,3)&lt;&gt;"IKS"),IFERROR(VLOOKUP($G1866,Tb_KostenTypen[],2,0),"tarief"),RIGHT(F1866,3)="IKS","Uurtarief",LEFT(F1866,6)="Arbeid","Uurtarief",AND(LEFT(F1866,8)="Bijdrage",RIGHT(F1866,15)="(vrijwilligers)"),"Vast tarief"),"")</f>
        <v/>
      </c>
      <c r="O1866" s="90"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0"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1"/>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59"/>
      <c r="Z1866" s="49"/>
      <c r="AA1866" s="37" t="str" cm="1">
        <f t="array" ref="AA1866">IFERROR(IF(INDEX(SubsidieTabel!$Q$1:$T$9,MATCH($F1866,SubsidieTabel!$Q$1:$Q$9,0),IFERROR(MATCH(Methode_Keuze,SubsidieTabel!$Q$1:$T$1,0),2))&lt;&gt;1=TRUE,"ja",""),"")</f>
        <v/>
      </c>
    </row>
    <row r="1867" spans="1:27" ht="15" customHeight="1" x14ac:dyDescent="0.25">
      <c r="A1867" s="85"/>
      <c r="B1867" s="217" t="str">
        <f>IF(A1867&lt;&gt;"",_xlfn.MAXIFS($B$1:B1866,$A$1:A1866,A1867)+1,"")</f>
        <v/>
      </c>
      <c r="C1867" s="50"/>
      <c r="D1867" s="50"/>
      <c r="E1867" s="50"/>
      <c r="F1867" s="50"/>
      <c r="G1867" s="280"/>
      <c r="H1867" s="293"/>
      <c r="I1867" s="292"/>
      <c r="J1867" s="292"/>
      <c r="K1867" s="200"/>
      <c r="L1867" s="200"/>
      <c r="M1867" s="89" t="str">
        <f>IFERROR(VLOOKUP(H1867,Lijsten!$H$1:$I$100,2,0),"")</f>
        <v/>
      </c>
      <c r="N1867" s="89" t="str" cm="1">
        <f t="array" ref="N1867">IFERROR(_xlfn.IFS(AND(LEFT(F1867,6)="Arbeid",RIGHT(F1867,3)&lt;&gt;"IKS"),IFERROR(VLOOKUP($G1867,Tb_KostenTypen[],2,0),"tarief"),RIGHT(F1867,3)="IKS","Uurtarief",LEFT(F1867,6)="Arbeid","Uurtarief",AND(LEFT(F1867,8)="Bijdrage",RIGHT(F1867,15)="(vrijwilligers)"),"Vast tarief"),"")</f>
        <v/>
      </c>
      <c r="O1867" s="90"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0"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1"/>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59"/>
      <c r="Z1867" s="49"/>
      <c r="AA1867" s="37" t="str" cm="1">
        <f t="array" ref="AA1867">IFERROR(IF(INDEX(SubsidieTabel!$Q$1:$T$9,MATCH($F1867,SubsidieTabel!$Q$1:$Q$9,0),IFERROR(MATCH(Methode_Keuze,SubsidieTabel!$Q$1:$T$1,0),2))&lt;&gt;1=TRUE,"ja",""),"")</f>
        <v/>
      </c>
    </row>
    <row r="1868" spans="1:27" ht="15" customHeight="1" x14ac:dyDescent="0.25">
      <c r="A1868" s="85"/>
      <c r="B1868" s="217" t="str">
        <f>IF(A1868&lt;&gt;"",_xlfn.MAXIFS($B$1:B1867,$A$1:A1867,A1868)+1,"")</f>
        <v/>
      </c>
      <c r="C1868" s="50"/>
      <c r="D1868" s="50"/>
      <c r="E1868" s="50"/>
      <c r="F1868" s="50"/>
      <c r="G1868" s="280"/>
      <c r="H1868" s="293"/>
      <c r="I1868" s="292"/>
      <c r="J1868" s="292"/>
      <c r="K1868" s="200"/>
      <c r="L1868" s="200"/>
      <c r="M1868" s="89" t="str">
        <f>IFERROR(VLOOKUP(H1868,Lijsten!$H$1:$I$100,2,0),"")</f>
        <v/>
      </c>
      <c r="N1868" s="89" t="str" cm="1">
        <f t="array" ref="N1868">IFERROR(_xlfn.IFS(AND(LEFT(F1868,6)="Arbeid",RIGHT(F1868,3)&lt;&gt;"IKS"),IFERROR(VLOOKUP($G1868,Tb_KostenTypen[],2,0),"tarief"),RIGHT(F1868,3)="IKS","Uurtarief",LEFT(F1868,6)="Arbeid","Uurtarief",AND(LEFT(F1868,8)="Bijdrage",RIGHT(F1868,15)="(vrijwilligers)"),"Vast tarief"),"")</f>
        <v/>
      </c>
      <c r="O1868" s="90"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0"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1"/>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59"/>
      <c r="Z1868" s="49"/>
      <c r="AA1868" s="37" t="str" cm="1">
        <f t="array" ref="AA1868">IFERROR(IF(INDEX(SubsidieTabel!$Q$1:$T$9,MATCH($F1868,SubsidieTabel!$Q$1:$Q$9,0),IFERROR(MATCH(Methode_Keuze,SubsidieTabel!$Q$1:$T$1,0),2))&lt;&gt;1=TRUE,"ja",""),"")</f>
        <v/>
      </c>
    </row>
    <row r="1869" spans="1:27" ht="15" customHeight="1" x14ac:dyDescent="0.25">
      <c r="A1869" s="85"/>
      <c r="B1869" s="217" t="str">
        <f>IF(A1869&lt;&gt;"",_xlfn.MAXIFS($B$1:B1868,$A$1:A1868,A1869)+1,"")</f>
        <v/>
      </c>
      <c r="C1869" s="50"/>
      <c r="D1869" s="50"/>
      <c r="E1869" s="50"/>
      <c r="F1869" s="50"/>
      <c r="G1869" s="280"/>
      <c r="H1869" s="293"/>
      <c r="I1869" s="292"/>
      <c r="J1869" s="292"/>
      <c r="K1869" s="200"/>
      <c r="L1869" s="200"/>
      <c r="M1869" s="89" t="str">
        <f>IFERROR(VLOOKUP(H1869,Lijsten!$H$1:$I$100,2,0),"")</f>
        <v/>
      </c>
      <c r="N1869" s="89" t="str" cm="1">
        <f t="array" ref="N1869">IFERROR(_xlfn.IFS(AND(LEFT(F1869,6)="Arbeid",RIGHT(F1869,3)&lt;&gt;"IKS"),IFERROR(VLOOKUP($G1869,Tb_KostenTypen[],2,0),"tarief"),RIGHT(F1869,3)="IKS","Uurtarief",LEFT(F1869,6)="Arbeid","Uurtarief",AND(LEFT(F1869,8)="Bijdrage",RIGHT(F1869,15)="(vrijwilligers)"),"Vast tarief"),"")</f>
        <v/>
      </c>
      <c r="O1869" s="90"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0"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1"/>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59"/>
      <c r="Z1869" s="49"/>
      <c r="AA1869" s="37" t="str" cm="1">
        <f t="array" ref="AA1869">IFERROR(IF(INDEX(SubsidieTabel!$Q$1:$T$9,MATCH($F1869,SubsidieTabel!$Q$1:$Q$9,0),IFERROR(MATCH(Methode_Keuze,SubsidieTabel!$Q$1:$T$1,0),2))&lt;&gt;1=TRUE,"ja",""),"")</f>
        <v/>
      </c>
    </row>
    <row r="1870" spans="1:27" ht="15" customHeight="1" x14ac:dyDescent="0.25">
      <c r="A1870" s="85"/>
      <c r="B1870" s="217" t="str">
        <f>IF(A1870&lt;&gt;"",_xlfn.MAXIFS($B$1:B1869,$A$1:A1869,A1870)+1,"")</f>
        <v/>
      </c>
      <c r="C1870" s="50"/>
      <c r="D1870" s="50"/>
      <c r="E1870" s="50"/>
      <c r="F1870" s="50"/>
      <c r="G1870" s="280"/>
      <c r="H1870" s="293"/>
      <c r="I1870" s="292"/>
      <c r="J1870" s="292"/>
      <c r="K1870" s="200"/>
      <c r="L1870" s="200"/>
      <c r="M1870" s="89" t="str">
        <f>IFERROR(VLOOKUP(H1870,Lijsten!$H$1:$I$100,2,0),"")</f>
        <v/>
      </c>
      <c r="N1870" s="89" t="str" cm="1">
        <f t="array" ref="N1870">IFERROR(_xlfn.IFS(AND(LEFT(F1870,6)="Arbeid",RIGHT(F1870,3)&lt;&gt;"IKS"),IFERROR(VLOOKUP($G1870,Tb_KostenTypen[],2,0),"tarief"),RIGHT(F1870,3)="IKS","Uurtarief",LEFT(F1870,6)="Arbeid","Uurtarief",AND(LEFT(F1870,8)="Bijdrage",RIGHT(F1870,15)="(vrijwilligers)"),"Vast tarief"),"")</f>
        <v/>
      </c>
      <c r="O1870" s="90"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0"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1"/>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59"/>
      <c r="Z1870" s="49"/>
      <c r="AA1870" s="37" t="str" cm="1">
        <f t="array" ref="AA1870">IFERROR(IF(INDEX(SubsidieTabel!$Q$1:$T$9,MATCH($F1870,SubsidieTabel!$Q$1:$Q$9,0),IFERROR(MATCH(Methode_Keuze,SubsidieTabel!$Q$1:$T$1,0),2))&lt;&gt;1=TRUE,"ja",""),"")</f>
        <v/>
      </c>
    </row>
    <row r="1871" spans="1:27" ht="15" customHeight="1" x14ac:dyDescent="0.25">
      <c r="A1871" s="85"/>
      <c r="B1871" s="217" t="str">
        <f>IF(A1871&lt;&gt;"",_xlfn.MAXIFS($B$1:B1870,$A$1:A1870,A1871)+1,"")</f>
        <v/>
      </c>
      <c r="C1871" s="50"/>
      <c r="D1871" s="50"/>
      <c r="E1871" s="50"/>
      <c r="F1871" s="50"/>
      <c r="G1871" s="280"/>
      <c r="H1871" s="293"/>
      <c r="I1871" s="292"/>
      <c r="J1871" s="292"/>
      <c r="K1871" s="200"/>
      <c r="L1871" s="200"/>
      <c r="M1871" s="89" t="str">
        <f>IFERROR(VLOOKUP(H1871,Lijsten!$H$1:$I$100,2,0),"")</f>
        <v/>
      </c>
      <c r="N1871" s="89" t="str" cm="1">
        <f t="array" ref="N1871">IFERROR(_xlfn.IFS(AND(LEFT(F1871,6)="Arbeid",RIGHT(F1871,3)&lt;&gt;"IKS"),IFERROR(VLOOKUP($G1871,Tb_KostenTypen[],2,0),"tarief"),RIGHT(F1871,3)="IKS","Uurtarief",LEFT(F1871,6)="Arbeid","Uurtarief",AND(LEFT(F1871,8)="Bijdrage",RIGHT(F1871,15)="(vrijwilligers)"),"Vast tarief"),"")</f>
        <v/>
      </c>
      <c r="O1871" s="90"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0"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1"/>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59"/>
      <c r="Z1871" s="49"/>
      <c r="AA1871" s="37" t="str" cm="1">
        <f t="array" ref="AA1871">IFERROR(IF(INDEX(SubsidieTabel!$Q$1:$T$9,MATCH($F1871,SubsidieTabel!$Q$1:$Q$9,0),IFERROR(MATCH(Methode_Keuze,SubsidieTabel!$Q$1:$T$1,0),2))&lt;&gt;1=TRUE,"ja",""),"")</f>
        <v/>
      </c>
    </row>
    <row r="1872" spans="1:27" ht="15" customHeight="1" x14ac:dyDescent="0.25">
      <c r="A1872" s="85"/>
      <c r="B1872" s="217" t="str">
        <f>IF(A1872&lt;&gt;"",_xlfn.MAXIFS($B$1:B1871,$A$1:A1871,A1872)+1,"")</f>
        <v/>
      </c>
      <c r="C1872" s="50"/>
      <c r="D1872" s="50"/>
      <c r="E1872" s="50"/>
      <c r="F1872" s="50"/>
      <c r="G1872" s="280"/>
      <c r="H1872" s="293"/>
      <c r="I1872" s="292"/>
      <c r="J1872" s="292"/>
      <c r="K1872" s="200"/>
      <c r="L1872" s="200"/>
      <c r="M1872" s="89" t="str">
        <f>IFERROR(VLOOKUP(H1872,Lijsten!$H$1:$I$100,2,0),"")</f>
        <v/>
      </c>
      <c r="N1872" s="89" t="str" cm="1">
        <f t="array" ref="N1872">IFERROR(_xlfn.IFS(AND(LEFT(F1872,6)="Arbeid",RIGHT(F1872,3)&lt;&gt;"IKS"),IFERROR(VLOOKUP($G1872,Tb_KostenTypen[],2,0),"tarief"),RIGHT(F1872,3)="IKS","Uurtarief",LEFT(F1872,6)="Arbeid","Uurtarief",AND(LEFT(F1872,8)="Bijdrage",RIGHT(F1872,15)="(vrijwilligers)"),"Vast tarief"),"")</f>
        <v/>
      </c>
      <c r="O1872" s="90"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0"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1"/>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59"/>
      <c r="Z1872" s="49"/>
      <c r="AA1872" s="37" t="str" cm="1">
        <f t="array" ref="AA1872">IFERROR(IF(INDEX(SubsidieTabel!$Q$1:$T$9,MATCH($F1872,SubsidieTabel!$Q$1:$Q$9,0),IFERROR(MATCH(Methode_Keuze,SubsidieTabel!$Q$1:$T$1,0),2))&lt;&gt;1=TRUE,"ja",""),"")</f>
        <v/>
      </c>
    </row>
    <row r="1873" spans="1:27" ht="15" customHeight="1" x14ac:dyDescent="0.25">
      <c r="A1873" s="85"/>
      <c r="B1873" s="217" t="str">
        <f>IF(A1873&lt;&gt;"",_xlfn.MAXIFS($B$1:B1872,$A$1:A1872,A1873)+1,"")</f>
        <v/>
      </c>
      <c r="C1873" s="50"/>
      <c r="D1873" s="50"/>
      <c r="E1873" s="50"/>
      <c r="F1873" s="50"/>
      <c r="G1873" s="280"/>
      <c r="H1873" s="293"/>
      <c r="I1873" s="292"/>
      <c r="J1873" s="292"/>
      <c r="K1873" s="200"/>
      <c r="L1873" s="200"/>
      <c r="M1873" s="89" t="str">
        <f>IFERROR(VLOOKUP(H1873,Lijsten!$H$1:$I$100,2,0),"")</f>
        <v/>
      </c>
      <c r="N1873" s="89" t="str" cm="1">
        <f t="array" ref="N1873">IFERROR(_xlfn.IFS(AND(LEFT(F1873,6)="Arbeid",RIGHT(F1873,3)&lt;&gt;"IKS"),IFERROR(VLOOKUP($G1873,Tb_KostenTypen[],2,0),"tarief"),RIGHT(F1873,3)="IKS","Uurtarief",LEFT(F1873,6)="Arbeid","Uurtarief",AND(LEFT(F1873,8)="Bijdrage",RIGHT(F1873,15)="(vrijwilligers)"),"Vast tarief"),"")</f>
        <v/>
      </c>
      <c r="O1873" s="90"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0"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1"/>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59"/>
      <c r="Z1873" s="49"/>
      <c r="AA1873" s="37" t="str" cm="1">
        <f t="array" ref="AA1873">IFERROR(IF(INDEX(SubsidieTabel!$Q$1:$T$9,MATCH($F1873,SubsidieTabel!$Q$1:$Q$9,0),IFERROR(MATCH(Methode_Keuze,SubsidieTabel!$Q$1:$T$1,0),2))&lt;&gt;1=TRUE,"ja",""),"")</f>
        <v/>
      </c>
    </row>
    <row r="1874" spans="1:27" ht="15" customHeight="1" x14ac:dyDescent="0.25">
      <c r="A1874" s="85"/>
      <c r="B1874" s="217" t="str">
        <f>IF(A1874&lt;&gt;"",_xlfn.MAXIFS($B$1:B1873,$A$1:A1873,A1874)+1,"")</f>
        <v/>
      </c>
      <c r="C1874" s="50"/>
      <c r="D1874" s="50"/>
      <c r="E1874" s="50"/>
      <c r="F1874" s="50"/>
      <c r="G1874" s="280"/>
      <c r="H1874" s="293"/>
      <c r="I1874" s="292"/>
      <c r="J1874" s="292"/>
      <c r="K1874" s="200"/>
      <c r="L1874" s="200"/>
      <c r="M1874" s="89" t="str">
        <f>IFERROR(VLOOKUP(H1874,Lijsten!$H$1:$I$100,2,0),"")</f>
        <v/>
      </c>
      <c r="N1874" s="89" t="str" cm="1">
        <f t="array" ref="N1874">IFERROR(_xlfn.IFS(AND(LEFT(F1874,6)="Arbeid",RIGHT(F1874,3)&lt;&gt;"IKS"),IFERROR(VLOOKUP($G1874,Tb_KostenTypen[],2,0),"tarief"),RIGHT(F1874,3)="IKS","Uurtarief",LEFT(F1874,6)="Arbeid","Uurtarief",AND(LEFT(F1874,8)="Bijdrage",RIGHT(F1874,15)="(vrijwilligers)"),"Vast tarief"),"")</f>
        <v/>
      </c>
      <c r="O1874" s="90"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0"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1"/>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59"/>
      <c r="Z1874" s="49"/>
      <c r="AA1874" s="37" t="str" cm="1">
        <f t="array" ref="AA1874">IFERROR(IF(INDEX(SubsidieTabel!$Q$1:$T$9,MATCH($F1874,SubsidieTabel!$Q$1:$Q$9,0),IFERROR(MATCH(Methode_Keuze,SubsidieTabel!$Q$1:$T$1,0),2))&lt;&gt;1=TRUE,"ja",""),"")</f>
        <v/>
      </c>
    </row>
    <row r="1875" spans="1:27" ht="15" customHeight="1" x14ac:dyDescent="0.25">
      <c r="A1875" s="85"/>
      <c r="B1875" s="217" t="str">
        <f>IF(A1875&lt;&gt;"",_xlfn.MAXIFS($B$1:B1874,$A$1:A1874,A1875)+1,"")</f>
        <v/>
      </c>
      <c r="C1875" s="50"/>
      <c r="D1875" s="50"/>
      <c r="E1875" s="50"/>
      <c r="F1875" s="50"/>
      <c r="G1875" s="280"/>
      <c r="H1875" s="293"/>
      <c r="I1875" s="292"/>
      <c r="J1875" s="292"/>
      <c r="K1875" s="200"/>
      <c r="L1875" s="200"/>
      <c r="M1875" s="89" t="str">
        <f>IFERROR(VLOOKUP(H1875,Lijsten!$H$1:$I$100,2,0),"")</f>
        <v/>
      </c>
      <c r="N1875" s="89" t="str" cm="1">
        <f t="array" ref="N1875">IFERROR(_xlfn.IFS(AND(LEFT(F1875,6)="Arbeid",RIGHT(F1875,3)&lt;&gt;"IKS"),IFERROR(VLOOKUP($G1875,Tb_KostenTypen[],2,0),"tarief"),RIGHT(F1875,3)="IKS","Uurtarief",LEFT(F1875,6)="Arbeid","Uurtarief",AND(LEFT(F1875,8)="Bijdrage",RIGHT(F1875,15)="(vrijwilligers)"),"Vast tarief"),"")</f>
        <v/>
      </c>
      <c r="O1875" s="90"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0"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1"/>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59"/>
      <c r="Z1875" s="49"/>
      <c r="AA1875" s="37" t="str" cm="1">
        <f t="array" ref="AA1875">IFERROR(IF(INDEX(SubsidieTabel!$Q$1:$T$9,MATCH($F1875,SubsidieTabel!$Q$1:$Q$9,0),IFERROR(MATCH(Methode_Keuze,SubsidieTabel!$Q$1:$T$1,0),2))&lt;&gt;1=TRUE,"ja",""),"")</f>
        <v/>
      </c>
    </row>
    <row r="1876" spans="1:27" ht="15" customHeight="1" x14ac:dyDescent="0.25">
      <c r="A1876" s="85"/>
      <c r="B1876" s="217" t="str">
        <f>IF(A1876&lt;&gt;"",_xlfn.MAXIFS($B$1:B1875,$A$1:A1875,A1876)+1,"")</f>
        <v/>
      </c>
      <c r="C1876" s="50"/>
      <c r="D1876" s="50"/>
      <c r="E1876" s="50"/>
      <c r="F1876" s="50"/>
      <c r="G1876" s="280"/>
      <c r="H1876" s="293"/>
      <c r="I1876" s="292"/>
      <c r="J1876" s="292"/>
      <c r="K1876" s="200"/>
      <c r="L1876" s="200"/>
      <c r="M1876" s="89" t="str">
        <f>IFERROR(VLOOKUP(H1876,Lijsten!$H$1:$I$100,2,0),"")</f>
        <v/>
      </c>
      <c r="N1876" s="89" t="str" cm="1">
        <f t="array" ref="N1876">IFERROR(_xlfn.IFS(AND(LEFT(F1876,6)="Arbeid",RIGHT(F1876,3)&lt;&gt;"IKS"),IFERROR(VLOOKUP($G1876,Tb_KostenTypen[],2,0),"tarief"),RIGHT(F1876,3)="IKS","Uurtarief",LEFT(F1876,6)="Arbeid","Uurtarief",AND(LEFT(F1876,8)="Bijdrage",RIGHT(F1876,15)="(vrijwilligers)"),"Vast tarief"),"")</f>
        <v/>
      </c>
      <c r="O1876" s="90"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0"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1"/>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59"/>
      <c r="Z1876" s="49"/>
      <c r="AA1876" s="37" t="str" cm="1">
        <f t="array" ref="AA1876">IFERROR(IF(INDEX(SubsidieTabel!$Q$1:$T$9,MATCH($F1876,SubsidieTabel!$Q$1:$Q$9,0),IFERROR(MATCH(Methode_Keuze,SubsidieTabel!$Q$1:$T$1,0),2))&lt;&gt;1=TRUE,"ja",""),"")</f>
        <v/>
      </c>
    </row>
    <row r="1877" spans="1:27" ht="15" customHeight="1" x14ac:dyDescent="0.25">
      <c r="A1877" s="85"/>
      <c r="B1877" s="217" t="str">
        <f>IF(A1877&lt;&gt;"",_xlfn.MAXIFS($B$1:B1876,$A$1:A1876,A1877)+1,"")</f>
        <v/>
      </c>
      <c r="C1877" s="50"/>
      <c r="D1877" s="50"/>
      <c r="E1877" s="50"/>
      <c r="F1877" s="50"/>
      <c r="G1877" s="280"/>
      <c r="H1877" s="293"/>
      <c r="I1877" s="292"/>
      <c r="J1877" s="292"/>
      <c r="K1877" s="200"/>
      <c r="L1877" s="200"/>
      <c r="M1877" s="89" t="str">
        <f>IFERROR(VLOOKUP(H1877,Lijsten!$H$1:$I$100,2,0),"")</f>
        <v/>
      </c>
      <c r="N1877" s="89" t="str" cm="1">
        <f t="array" ref="N1877">IFERROR(_xlfn.IFS(AND(LEFT(F1877,6)="Arbeid",RIGHT(F1877,3)&lt;&gt;"IKS"),IFERROR(VLOOKUP($G1877,Tb_KostenTypen[],2,0),"tarief"),RIGHT(F1877,3)="IKS","Uurtarief",LEFT(F1877,6)="Arbeid","Uurtarief",AND(LEFT(F1877,8)="Bijdrage",RIGHT(F1877,15)="(vrijwilligers)"),"Vast tarief"),"")</f>
        <v/>
      </c>
      <c r="O1877" s="90"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0"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1"/>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59"/>
      <c r="Z1877" s="49"/>
      <c r="AA1877" s="37" t="str" cm="1">
        <f t="array" ref="AA1877">IFERROR(IF(INDEX(SubsidieTabel!$Q$1:$T$9,MATCH($F1877,SubsidieTabel!$Q$1:$Q$9,0),IFERROR(MATCH(Methode_Keuze,SubsidieTabel!$Q$1:$T$1,0),2))&lt;&gt;1=TRUE,"ja",""),"")</f>
        <v/>
      </c>
    </row>
    <row r="1878" spans="1:27" ht="15" customHeight="1" x14ac:dyDescent="0.25">
      <c r="A1878" s="85"/>
      <c r="B1878" s="217" t="str">
        <f>IF(A1878&lt;&gt;"",_xlfn.MAXIFS($B$1:B1877,$A$1:A1877,A1878)+1,"")</f>
        <v/>
      </c>
      <c r="C1878" s="50"/>
      <c r="D1878" s="50"/>
      <c r="E1878" s="50"/>
      <c r="F1878" s="50"/>
      <c r="G1878" s="280"/>
      <c r="H1878" s="293"/>
      <c r="I1878" s="292"/>
      <c r="J1878" s="292"/>
      <c r="K1878" s="200"/>
      <c r="L1878" s="200"/>
      <c r="M1878" s="89" t="str">
        <f>IFERROR(VLOOKUP(H1878,Lijsten!$H$1:$I$100,2,0),"")</f>
        <v/>
      </c>
      <c r="N1878" s="89" t="str" cm="1">
        <f t="array" ref="N1878">IFERROR(_xlfn.IFS(AND(LEFT(F1878,6)="Arbeid",RIGHT(F1878,3)&lt;&gt;"IKS"),IFERROR(VLOOKUP($G1878,Tb_KostenTypen[],2,0),"tarief"),RIGHT(F1878,3)="IKS","Uurtarief",LEFT(F1878,6)="Arbeid","Uurtarief",AND(LEFT(F1878,8)="Bijdrage",RIGHT(F1878,15)="(vrijwilligers)"),"Vast tarief"),"")</f>
        <v/>
      </c>
      <c r="O1878" s="90"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0"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1"/>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59"/>
      <c r="Z1878" s="49"/>
      <c r="AA1878" s="37" t="str" cm="1">
        <f t="array" ref="AA1878">IFERROR(IF(INDEX(SubsidieTabel!$Q$1:$T$9,MATCH($F1878,SubsidieTabel!$Q$1:$Q$9,0),IFERROR(MATCH(Methode_Keuze,SubsidieTabel!$Q$1:$T$1,0),2))&lt;&gt;1=TRUE,"ja",""),"")</f>
        <v/>
      </c>
    </row>
    <row r="1879" spans="1:27" ht="15" customHeight="1" x14ac:dyDescent="0.25">
      <c r="A1879" s="85"/>
      <c r="B1879" s="217" t="str">
        <f>IF(A1879&lt;&gt;"",_xlfn.MAXIFS($B$1:B1878,$A$1:A1878,A1879)+1,"")</f>
        <v/>
      </c>
      <c r="C1879" s="50"/>
      <c r="D1879" s="50"/>
      <c r="E1879" s="50"/>
      <c r="F1879" s="50"/>
      <c r="G1879" s="280"/>
      <c r="H1879" s="293"/>
      <c r="I1879" s="292"/>
      <c r="J1879" s="292"/>
      <c r="K1879" s="200"/>
      <c r="L1879" s="200"/>
      <c r="M1879" s="89" t="str">
        <f>IFERROR(VLOOKUP(H1879,Lijsten!$H$1:$I$100,2,0),"")</f>
        <v/>
      </c>
      <c r="N1879" s="89" t="str" cm="1">
        <f t="array" ref="N1879">IFERROR(_xlfn.IFS(AND(LEFT(F1879,6)="Arbeid",RIGHT(F1879,3)&lt;&gt;"IKS"),IFERROR(VLOOKUP($G1879,Tb_KostenTypen[],2,0),"tarief"),RIGHT(F1879,3)="IKS","Uurtarief",LEFT(F1879,6)="Arbeid","Uurtarief",AND(LEFT(F1879,8)="Bijdrage",RIGHT(F1879,15)="(vrijwilligers)"),"Vast tarief"),"")</f>
        <v/>
      </c>
      <c r="O1879" s="90"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0"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1"/>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59"/>
      <c r="Z1879" s="49"/>
      <c r="AA1879" s="37" t="str" cm="1">
        <f t="array" ref="AA1879">IFERROR(IF(INDEX(SubsidieTabel!$Q$1:$T$9,MATCH($F1879,SubsidieTabel!$Q$1:$Q$9,0),IFERROR(MATCH(Methode_Keuze,SubsidieTabel!$Q$1:$T$1,0),2))&lt;&gt;1=TRUE,"ja",""),"")</f>
        <v/>
      </c>
    </row>
    <row r="1880" spans="1:27" ht="15" customHeight="1" x14ac:dyDescent="0.25">
      <c r="A1880" s="85"/>
      <c r="B1880" s="217" t="str">
        <f>IF(A1880&lt;&gt;"",_xlfn.MAXIFS($B$1:B1879,$A$1:A1879,A1880)+1,"")</f>
        <v/>
      </c>
      <c r="C1880" s="50"/>
      <c r="D1880" s="50"/>
      <c r="E1880" s="50"/>
      <c r="F1880" s="50"/>
      <c r="G1880" s="280"/>
      <c r="H1880" s="293"/>
      <c r="I1880" s="292"/>
      <c r="J1880" s="292"/>
      <c r="K1880" s="200"/>
      <c r="L1880" s="200"/>
      <c r="M1880" s="89" t="str">
        <f>IFERROR(VLOOKUP(H1880,Lijsten!$H$1:$I$100,2,0),"")</f>
        <v/>
      </c>
      <c r="N1880" s="89" t="str" cm="1">
        <f t="array" ref="N1880">IFERROR(_xlfn.IFS(AND(LEFT(F1880,6)="Arbeid",RIGHT(F1880,3)&lt;&gt;"IKS"),IFERROR(VLOOKUP($G1880,Tb_KostenTypen[],2,0),"tarief"),RIGHT(F1880,3)="IKS","Uurtarief",LEFT(F1880,6)="Arbeid","Uurtarief",AND(LEFT(F1880,8)="Bijdrage",RIGHT(F1880,15)="(vrijwilligers)"),"Vast tarief"),"")</f>
        <v/>
      </c>
      <c r="O1880" s="90"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0"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1"/>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59"/>
      <c r="Z1880" s="49"/>
      <c r="AA1880" s="37" t="str" cm="1">
        <f t="array" ref="AA1880">IFERROR(IF(INDEX(SubsidieTabel!$Q$1:$T$9,MATCH($F1880,SubsidieTabel!$Q$1:$Q$9,0),IFERROR(MATCH(Methode_Keuze,SubsidieTabel!$Q$1:$T$1,0),2))&lt;&gt;1=TRUE,"ja",""),"")</f>
        <v/>
      </c>
    </row>
    <row r="1881" spans="1:27" ht="15" customHeight="1" x14ac:dyDescent="0.25">
      <c r="A1881" s="85"/>
      <c r="B1881" s="217" t="str">
        <f>IF(A1881&lt;&gt;"",_xlfn.MAXIFS($B$1:B1880,$A$1:A1880,A1881)+1,"")</f>
        <v/>
      </c>
      <c r="C1881" s="50"/>
      <c r="D1881" s="50"/>
      <c r="E1881" s="50"/>
      <c r="F1881" s="50"/>
      <c r="G1881" s="280"/>
      <c r="H1881" s="293"/>
      <c r="I1881" s="292"/>
      <c r="J1881" s="292"/>
      <c r="K1881" s="200"/>
      <c r="L1881" s="200"/>
      <c r="M1881" s="89" t="str">
        <f>IFERROR(VLOOKUP(H1881,Lijsten!$H$1:$I$100,2,0),"")</f>
        <v/>
      </c>
      <c r="N1881" s="89" t="str" cm="1">
        <f t="array" ref="N1881">IFERROR(_xlfn.IFS(AND(LEFT(F1881,6)="Arbeid",RIGHT(F1881,3)&lt;&gt;"IKS"),IFERROR(VLOOKUP($G1881,Tb_KostenTypen[],2,0),"tarief"),RIGHT(F1881,3)="IKS","Uurtarief",LEFT(F1881,6)="Arbeid","Uurtarief",AND(LEFT(F1881,8)="Bijdrage",RIGHT(F1881,15)="(vrijwilligers)"),"Vast tarief"),"")</f>
        <v/>
      </c>
      <c r="O1881" s="90"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0"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1"/>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59"/>
      <c r="Z1881" s="49"/>
      <c r="AA1881" s="37" t="str" cm="1">
        <f t="array" ref="AA1881">IFERROR(IF(INDEX(SubsidieTabel!$Q$1:$T$9,MATCH($F1881,SubsidieTabel!$Q$1:$Q$9,0),IFERROR(MATCH(Methode_Keuze,SubsidieTabel!$Q$1:$T$1,0),2))&lt;&gt;1=TRUE,"ja",""),"")</f>
        <v/>
      </c>
    </row>
    <row r="1882" spans="1:27" ht="15" customHeight="1" x14ac:dyDescent="0.25">
      <c r="A1882" s="85"/>
      <c r="B1882" s="217" t="str">
        <f>IF(A1882&lt;&gt;"",_xlfn.MAXIFS($B$1:B1881,$A$1:A1881,A1882)+1,"")</f>
        <v/>
      </c>
      <c r="C1882" s="50"/>
      <c r="D1882" s="50"/>
      <c r="E1882" s="50"/>
      <c r="F1882" s="50"/>
      <c r="G1882" s="280"/>
      <c r="H1882" s="293"/>
      <c r="I1882" s="292"/>
      <c r="J1882" s="292"/>
      <c r="K1882" s="200"/>
      <c r="L1882" s="200"/>
      <c r="M1882" s="89" t="str">
        <f>IFERROR(VLOOKUP(H1882,Lijsten!$H$1:$I$100,2,0),"")</f>
        <v/>
      </c>
      <c r="N1882" s="89" t="str" cm="1">
        <f t="array" ref="N1882">IFERROR(_xlfn.IFS(AND(LEFT(F1882,6)="Arbeid",RIGHT(F1882,3)&lt;&gt;"IKS"),IFERROR(VLOOKUP($G1882,Tb_KostenTypen[],2,0),"tarief"),RIGHT(F1882,3)="IKS","Uurtarief",LEFT(F1882,6)="Arbeid","Uurtarief",AND(LEFT(F1882,8)="Bijdrage",RIGHT(F1882,15)="(vrijwilligers)"),"Vast tarief"),"")</f>
        <v/>
      </c>
      <c r="O1882" s="90"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0"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1"/>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59"/>
      <c r="Z1882" s="49"/>
      <c r="AA1882" s="37" t="str" cm="1">
        <f t="array" ref="AA1882">IFERROR(IF(INDEX(SubsidieTabel!$Q$1:$T$9,MATCH($F1882,SubsidieTabel!$Q$1:$Q$9,0),IFERROR(MATCH(Methode_Keuze,SubsidieTabel!$Q$1:$T$1,0),2))&lt;&gt;1=TRUE,"ja",""),"")</f>
        <v/>
      </c>
    </row>
    <row r="1883" spans="1:27" ht="15" customHeight="1" x14ac:dyDescent="0.25">
      <c r="A1883" s="85"/>
      <c r="B1883" s="217" t="str">
        <f>IF(A1883&lt;&gt;"",_xlfn.MAXIFS($B$1:B1882,$A$1:A1882,A1883)+1,"")</f>
        <v/>
      </c>
      <c r="C1883" s="50"/>
      <c r="D1883" s="50"/>
      <c r="E1883" s="50"/>
      <c r="F1883" s="50"/>
      <c r="G1883" s="280"/>
      <c r="H1883" s="293"/>
      <c r="I1883" s="292"/>
      <c r="J1883" s="292"/>
      <c r="K1883" s="200"/>
      <c r="L1883" s="200"/>
      <c r="M1883" s="89" t="str">
        <f>IFERROR(VLOOKUP(H1883,Lijsten!$H$1:$I$100,2,0),"")</f>
        <v/>
      </c>
      <c r="N1883" s="89" t="str" cm="1">
        <f t="array" ref="N1883">IFERROR(_xlfn.IFS(AND(LEFT(F1883,6)="Arbeid",RIGHT(F1883,3)&lt;&gt;"IKS"),IFERROR(VLOOKUP($G1883,Tb_KostenTypen[],2,0),"tarief"),RIGHT(F1883,3)="IKS","Uurtarief",LEFT(F1883,6)="Arbeid","Uurtarief",AND(LEFT(F1883,8)="Bijdrage",RIGHT(F1883,15)="(vrijwilligers)"),"Vast tarief"),"")</f>
        <v/>
      </c>
      <c r="O1883" s="90"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0"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1"/>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59"/>
      <c r="Z1883" s="49"/>
      <c r="AA1883" s="37" t="str" cm="1">
        <f t="array" ref="AA1883">IFERROR(IF(INDEX(SubsidieTabel!$Q$1:$T$9,MATCH($F1883,SubsidieTabel!$Q$1:$Q$9,0),IFERROR(MATCH(Methode_Keuze,SubsidieTabel!$Q$1:$T$1,0),2))&lt;&gt;1=TRUE,"ja",""),"")</f>
        <v/>
      </c>
    </row>
    <row r="1884" spans="1:27" ht="15" customHeight="1" x14ac:dyDescent="0.25">
      <c r="A1884" s="85"/>
      <c r="B1884" s="217" t="str">
        <f>IF(A1884&lt;&gt;"",_xlfn.MAXIFS($B$1:B1883,$A$1:A1883,A1884)+1,"")</f>
        <v/>
      </c>
      <c r="C1884" s="50"/>
      <c r="D1884" s="50"/>
      <c r="E1884" s="50"/>
      <c r="F1884" s="50"/>
      <c r="G1884" s="280"/>
      <c r="H1884" s="293"/>
      <c r="I1884" s="292"/>
      <c r="J1884" s="292"/>
      <c r="K1884" s="200"/>
      <c r="L1884" s="200"/>
      <c r="M1884" s="89" t="str">
        <f>IFERROR(VLOOKUP(H1884,Lijsten!$H$1:$I$100,2,0),"")</f>
        <v/>
      </c>
      <c r="N1884" s="89" t="str" cm="1">
        <f t="array" ref="N1884">IFERROR(_xlfn.IFS(AND(LEFT(F1884,6)="Arbeid",RIGHT(F1884,3)&lt;&gt;"IKS"),IFERROR(VLOOKUP($G1884,Tb_KostenTypen[],2,0),"tarief"),RIGHT(F1884,3)="IKS","Uurtarief",LEFT(F1884,6)="Arbeid","Uurtarief",AND(LEFT(F1884,8)="Bijdrage",RIGHT(F1884,15)="(vrijwilligers)"),"Vast tarief"),"")</f>
        <v/>
      </c>
      <c r="O1884" s="90"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0"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1"/>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59"/>
      <c r="Z1884" s="49"/>
      <c r="AA1884" s="37" t="str" cm="1">
        <f t="array" ref="AA1884">IFERROR(IF(INDEX(SubsidieTabel!$Q$1:$T$9,MATCH($F1884,SubsidieTabel!$Q$1:$Q$9,0),IFERROR(MATCH(Methode_Keuze,SubsidieTabel!$Q$1:$T$1,0),2))&lt;&gt;1=TRUE,"ja",""),"")</f>
        <v/>
      </c>
    </row>
    <row r="1885" spans="1:27" ht="15" customHeight="1" x14ac:dyDescent="0.25">
      <c r="A1885" s="85"/>
      <c r="B1885" s="217" t="str">
        <f>IF(A1885&lt;&gt;"",_xlfn.MAXIFS($B$1:B1884,$A$1:A1884,A1885)+1,"")</f>
        <v/>
      </c>
      <c r="C1885" s="50"/>
      <c r="D1885" s="50"/>
      <c r="E1885" s="50"/>
      <c r="F1885" s="50"/>
      <c r="G1885" s="280"/>
      <c r="H1885" s="293"/>
      <c r="I1885" s="292"/>
      <c r="J1885" s="292"/>
      <c r="K1885" s="200"/>
      <c r="L1885" s="200"/>
      <c r="M1885" s="89" t="str">
        <f>IFERROR(VLOOKUP(H1885,Lijsten!$H$1:$I$100,2,0),"")</f>
        <v/>
      </c>
      <c r="N1885" s="89" t="str" cm="1">
        <f t="array" ref="N1885">IFERROR(_xlfn.IFS(AND(LEFT(F1885,6)="Arbeid",RIGHT(F1885,3)&lt;&gt;"IKS"),IFERROR(VLOOKUP($G1885,Tb_KostenTypen[],2,0),"tarief"),RIGHT(F1885,3)="IKS","Uurtarief",LEFT(F1885,6)="Arbeid","Uurtarief",AND(LEFT(F1885,8)="Bijdrage",RIGHT(F1885,15)="(vrijwilligers)"),"Vast tarief"),"")</f>
        <v/>
      </c>
      <c r="O1885" s="90"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0"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1"/>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59"/>
      <c r="Z1885" s="49"/>
      <c r="AA1885" s="37" t="str" cm="1">
        <f t="array" ref="AA1885">IFERROR(IF(INDEX(SubsidieTabel!$Q$1:$T$9,MATCH($F1885,SubsidieTabel!$Q$1:$Q$9,0),IFERROR(MATCH(Methode_Keuze,SubsidieTabel!$Q$1:$T$1,0),2))&lt;&gt;1=TRUE,"ja",""),"")</f>
        <v/>
      </c>
    </row>
    <row r="1886" spans="1:27" ht="15" customHeight="1" x14ac:dyDescent="0.25">
      <c r="A1886" s="85"/>
      <c r="B1886" s="217" t="str">
        <f>IF(A1886&lt;&gt;"",_xlfn.MAXIFS($B$1:B1885,$A$1:A1885,A1886)+1,"")</f>
        <v/>
      </c>
      <c r="C1886" s="50"/>
      <c r="D1886" s="50"/>
      <c r="E1886" s="50"/>
      <c r="F1886" s="50"/>
      <c r="G1886" s="280"/>
      <c r="H1886" s="293"/>
      <c r="I1886" s="292"/>
      <c r="J1886" s="292"/>
      <c r="K1886" s="200"/>
      <c r="L1886" s="200"/>
      <c r="M1886" s="89" t="str">
        <f>IFERROR(VLOOKUP(H1886,Lijsten!$H$1:$I$100,2,0),"")</f>
        <v/>
      </c>
      <c r="N1886" s="89" t="str" cm="1">
        <f t="array" ref="N1886">IFERROR(_xlfn.IFS(AND(LEFT(F1886,6)="Arbeid",RIGHT(F1886,3)&lt;&gt;"IKS"),IFERROR(VLOOKUP($G1886,Tb_KostenTypen[],2,0),"tarief"),RIGHT(F1886,3)="IKS","Uurtarief",LEFT(F1886,6)="Arbeid","Uurtarief",AND(LEFT(F1886,8)="Bijdrage",RIGHT(F1886,15)="(vrijwilligers)"),"Vast tarief"),"")</f>
        <v/>
      </c>
      <c r="O1886" s="90"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0"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1"/>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59"/>
      <c r="Z1886" s="49"/>
      <c r="AA1886" s="37" t="str" cm="1">
        <f t="array" ref="AA1886">IFERROR(IF(INDEX(SubsidieTabel!$Q$1:$T$9,MATCH($F1886,SubsidieTabel!$Q$1:$Q$9,0),IFERROR(MATCH(Methode_Keuze,SubsidieTabel!$Q$1:$T$1,0),2))&lt;&gt;1=TRUE,"ja",""),"")</f>
        <v/>
      </c>
    </row>
    <row r="1887" spans="1:27" ht="15" customHeight="1" x14ac:dyDescent="0.25">
      <c r="A1887" s="85"/>
      <c r="B1887" s="217" t="str">
        <f>IF(A1887&lt;&gt;"",_xlfn.MAXIFS($B$1:B1886,$A$1:A1886,A1887)+1,"")</f>
        <v/>
      </c>
      <c r="C1887" s="50"/>
      <c r="D1887" s="50"/>
      <c r="E1887" s="50"/>
      <c r="F1887" s="50"/>
      <c r="G1887" s="280"/>
      <c r="H1887" s="293"/>
      <c r="I1887" s="292"/>
      <c r="J1887" s="292"/>
      <c r="K1887" s="200"/>
      <c r="L1887" s="200"/>
      <c r="M1887" s="89" t="str">
        <f>IFERROR(VLOOKUP(H1887,Lijsten!$H$1:$I$100,2,0),"")</f>
        <v/>
      </c>
      <c r="N1887" s="89" t="str" cm="1">
        <f t="array" ref="N1887">IFERROR(_xlfn.IFS(AND(LEFT(F1887,6)="Arbeid",RIGHT(F1887,3)&lt;&gt;"IKS"),IFERROR(VLOOKUP($G1887,Tb_KostenTypen[],2,0),"tarief"),RIGHT(F1887,3)="IKS","Uurtarief",LEFT(F1887,6)="Arbeid","Uurtarief",AND(LEFT(F1887,8)="Bijdrage",RIGHT(F1887,15)="(vrijwilligers)"),"Vast tarief"),"")</f>
        <v/>
      </c>
      <c r="O1887" s="90"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0"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1"/>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59"/>
      <c r="Z1887" s="49"/>
      <c r="AA1887" s="37" t="str" cm="1">
        <f t="array" ref="AA1887">IFERROR(IF(INDEX(SubsidieTabel!$Q$1:$T$9,MATCH($F1887,SubsidieTabel!$Q$1:$Q$9,0),IFERROR(MATCH(Methode_Keuze,SubsidieTabel!$Q$1:$T$1,0),2))&lt;&gt;1=TRUE,"ja",""),"")</f>
        <v/>
      </c>
    </row>
    <row r="1888" spans="1:27" ht="15" customHeight="1" x14ac:dyDescent="0.25">
      <c r="A1888" s="85"/>
      <c r="B1888" s="217" t="str">
        <f>IF(A1888&lt;&gt;"",_xlfn.MAXIFS($B$1:B1887,$A$1:A1887,A1888)+1,"")</f>
        <v/>
      </c>
      <c r="C1888" s="50"/>
      <c r="D1888" s="50"/>
      <c r="E1888" s="50"/>
      <c r="F1888" s="50"/>
      <c r="G1888" s="280"/>
      <c r="H1888" s="293"/>
      <c r="I1888" s="292"/>
      <c r="J1888" s="292"/>
      <c r="K1888" s="200"/>
      <c r="L1888" s="200"/>
      <c r="M1888" s="89" t="str">
        <f>IFERROR(VLOOKUP(H1888,Lijsten!$H$1:$I$100,2,0),"")</f>
        <v/>
      </c>
      <c r="N1888" s="89" t="str" cm="1">
        <f t="array" ref="N1888">IFERROR(_xlfn.IFS(AND(LEFT(F1888,6)="Arbeid",RIGHT(F1888,3)&lt;&gt;"IKS"),IFERROR(VLOOKUP($G1888,Tb_KostenTypen[],2,0),"tarief"),RIGHT(F1888,3)="IKS","Uurtarief",LEFT(F1888,6)="Arbeid","Uurtarief",AND(LEFT(F1888,8)="Bijdrage",RIGHT(F1888,15)="(vrijwilligers)"),"Vast tarief"),"")</f>
        <v/>
      </c>
      <c r="O1888" s="90"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0"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1"/>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59"/>
      <c r="Z1888" s="49"/>
      <c r="AA1888" s="37" t="str" cm="1">
        <f t="array" ref="AA1888">IFERROR(IF(INDEX(SubsidieTabel!$Q$1:$T$9,MATCH($F1888,SubsidieTabel!$Q$1:$Q$9,0),IFERROR(MATCH(Methode_Keuze,SubsidieTabel!$Q$1:$T$1,0),2))&lt;&gt;1=TRUE,"ja",""),"")</f>
        <v/>
      </c>
    </row>
    <row r="1889" spans="1:27" ht="15" customHeight="1" x14ac:dyDescent="0.25">
      <c r="A1889" s="85"/>
      <c r="B1889" s="217" t="str">
        <f>IF(A1889&lt;&gt;"",_xlfn.MAXIFS($B$1:B1888,$A$1:A1888,A1889)+1,"")</f>
        <v/>
      </c>
      <c r="C1889" s="50"/>
      <c r="D1889" s="50"/>
      <c r="E1889" s="50"/>
      <c r="F1889" s="50"/>
      <c r="G1889" s="280"/>
      <c r="H1889" s="293"/>
      <c r="I1889" s="292"/>
      <c r="J1889" s="292"/>
      <c r="K1889" s="200"/>
      <c r="L1889" s="200"/>
      <c r="M1889" s="89" t="str">
        <f>IFERROR(VLOOKUP(H1889,Lijsten!$H$1:$I$100,2,0),"")</f>
        <v/>
      </c>
      <c r="N1889" s="89" t="str" cm="1">
        <f t="array" ref="N1889">IFERROR(_xlfn.IFS(AND(LEFT(F1889,6)="Arbeid",RIGHT(F1889,3)&lt;&gt;"IKS"),IFERROR(VLOOKUP($G1889,Tb_KostenTypen[],2,0),"tarief"),RIGHT(F1889,3)="IKS","Uurtarief",LEFT(F1889,6)="Arbeid","Uurtarief",AND(LEFT(F1889,8)="Bijdrage",RIGHT(F1889,15)="(vrijwilligers)"),"Vast tarief"),"")</f>
        <v/>
      </c>
      <c r="O1889" s="90"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0"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1"/>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59"/>
      <c r="Z1889" s="49"/>
      <c r="AA1889" s="37" t="str" cm="1">
        <f t="array" ref="AA1889">IFERROR(IF(INDEX(SubsidieTabel!$Q$1:$T$9,MATCH($F1889,SubsidieTabel!$Q$1:$Q$9,0),IFERROR(MATCH(Methode_Keuze,SubsidieTabel!$Q$1:$T$1,0),2))&lt;&gt;1=TRUE,"ja",""),"")</f>
        <v/>
      </c>
    </row>
    <row r="1890" spans="1:27" ht="15" customHeight="1" x14ac:dyDescent="0.25">
      <c r="A1890" s="85"/>
      <c r="B1890" s="217" t="str">
        <f>IF(A1890&lt;&gt;"",_xlfn.MAXIFS($B$1:B1889,$A$1:A1889,A1890)+1,"")</f>
        <v/>
      </c>
      <c r="C1890" s="50"/>
      <c r="D1890" s="50"/>
      <c r="E1890" s="50"/>
      <c r="F1890" s="50"/>
      <c r="G1890" s="280"/>
      <c r="H1890" s="293"/>
      <c r="I1890" s="292"/>
      <c r="J1890" s="292"/>
      <c r="K1890" s="200"/>
      <c r="L1890" s="200"/>
      <c r="M1890" s="89" t="str">
        <f>IFERROR(VLOOKUP(H1890,Lijsten!$H$1:$I$100,2,0),"")</f>
        <v/>
      </c>
      <c r="N1890" s="89" t="str" cm="1">
        <f t="array" ref="N1890">IFERROR(_xlfn.IFS(AND(LEFT(F1890,6)="Arbeid",RIGHT(F1890,3)&lt;&gt;"IKS"),IFERROR(VLOOKUP($G1890,Tb_KostenTypen[],2,0),"tarief"),RIGHT(F1890,3)="IKS","Uurtarief",LEFT(F1890,6)="Arbeid","Uurtarief",AND(LEFT(F1890,8)="Bijdrage",RIGHT(F1890,15)="(vrijwilligers)"),"Vast tarief"),"")</f>
        <v/>
      </c>
      <c r="O1890" s="90"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0"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1"/>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59"/>
      <c r="Z1890" s="49"/>
      <c r="AA1890" s="37" t="str" cm="1">
        <f t="array" ref="AA1890">IFERROR(IF(INDEX(SubsidieTabel!$Q$1:$T$9,MATCH($F1890,SubsidieTabel!$Q$1:$Q$9,0),IFERROR(MATCH(Methode_Keuze,SubsidieTabel!$Q$1:$T$1,0),2))&lt;&gt;1=TRUE,"ja",""),"")</f>
        <v/>
      </c>
    </row>
    <row r="1891" spans="1:27" ht="15" customHeight="1" x14ac:dyDescent="0.25">
      <c r="A1891" s="85"/>
      <c r="B1891" s="217" t="str">
        <f>IF(A1891&lt;&gt;"",_xlfn.MAXIFS($B$1:B1890,$A$1:A1890,A1891)+1,"")</f>
        <v/>
      </c>
      <c r="C1891" s="50"/>
      <c r="D1891" s="50"/>
      <c r="E1891" s="50"/>
      <c r="F1891" s="50"/>
      <c r="G1891" s="280"/>
      <c r="H1891" s="293"/>
      <c r="I1891" s="292"/>
      <c r="J1891" s="292"/>
      <c r="K1891" s="200"/>
      <c r="L1891" s="200"/>
      <c r="M1891" s="89" t="str">
        <f>IFERROR(VLOOKUP(H1891,Lijsten!$H$1:$I$100,2,0),"")</f>
        <v/>
      </c>
      <c r="N1891" s="89" t="str" cm="1">
        <f t="array" ref="N1891">IFERROR(_xlfn.IFS(AND(LEFT(F1891,6)="Arbeid",RIGHT(F1891,3)&lt;&gt;"IKS"),IFERROR(VLOOKUP($G1891,Tb_KostenTypen[],2,0),"tarief"),RIGHT(F1891,3)="IKS","Uurtarief",LEFT(F1891,6)="Arbeid","Uurtarief",AND(LEFT(F1891,8)="Bijdrage",RIGHT(F1891,15)="(vrijwilligers)"),"Vast tarief"),"")</f>
        <v/>
      </c>
      <c r="O1891" s="90"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0"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1"/>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59"/>
      <c r="Z1891" s="49"/>
      <c r="AA1891" s="37" t="str" cm="1">
        <f t="array" ref="AA1891">IFERROR(IF(INDEX(SubsidieTabel!$Q$1:$T$9,MATCH($F1891,SubsidieTabel!$Q$1:$Q$9,0),IFERROR(MATCH(Methode_Keuze,SubsidieTabel!$Q$1:$T$1,0),2))&lt;&gt;1=TRUE,"ja",""),"")</f>
        <v/>
      </c>
    </row>
    <row r="1892" spans="1:27" ht="15" customHeight="1" x14ac:dyDescent="0.25">
      <c r="A1892" s="85"/>
      <c r="B1892" s="217" t="str">
        <f>IF(A1892&lt;&gt;"",_xlfn.MAXIFS($B$1:B1891,$A$1:A1891,A1892)+1,"")</f>
        <v/>
      </c>
      <c r="C1892" s="50"/>
      <c r="D1892" s="50"/>
      <c r="E1892" s="50"/>
      <c r="F1892" s="50"/>
      <c r="G1892" s="280"/>
      <c r="H1892" s="293"/>
      <c r="I1892" s="292"/>
      <c r="J1892" s="292"/>
      <c r="K1892" s="200"/>
      <c r="L1892" s="200"/>
      <c r="M1892" s="89" t="str">
        <f>IFERROR(VLOOKUP(H1892,Lijsten!$H$1:$I$100,2,0),"")</f>
        <v/>
      </c>
      <c r="N1892" s="89" t="str" cm="1">
        <f t="array" ref="N1892">IFERROR(_xlfn.IFS(AND(LEFT(F1892,6)="Arbeid",RIGHT(F1892,3)&lt;&gt;"IKS"),IFERROR(VLOOKUP($G1892,Tb_KostenTypen[],2,0),"tarief"),RIGHT(F1892,3)="IKS","Uurtarief",LEFT(F1892,6)="Arbeid","Uurtarief",AND(LEFT(F1892,8)="Bijdrage",RIGHT(F1892,15)="(vrijwilligers)"),"Vast tarief"),"")</f>
        <v/>
      </c>
      <c r="O1892" s="90"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0"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1"/>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59"/>
      <c r="Z1892" s="49"/>
      <c r="AA1892" s="37" t="str" cm="1">
        <f t="array" ref="AA1892">IFERROR(IF(INDEX(SubsidieTabel!$Q$1:$T$9,MATCH($F1892,SubsidieTabel!$Q$1:$Q$9,0),IFERROR(MATCH(Methode_Keuze,SubsidieTabel!$Q$1:$T$1,0),2))&lt;&gt;1=TRUE,"ja",""),"")</f>
        <v/>
      </c>
    </row>
    <row r="1893" spans="1:27" ht="15" customHeight="1" x14ac:dyDescent="0.25">
      <c r="A1893" s="85"/>
      <c r="B1893" s="217" t="str">
        <f>IF(A1893&lt;&gt;"",_xlfn.MAXIFS($B$1:B1892,$A$1:A1892,A1893)+1,"")</f>
        <v/>
      </c>
      <c r="C1893" s="50"/>
      <c r="D1893" s="50"/>
      <c r="E1893" s="50"/>
      <c r="F1893" s="50"/>
      <c r="G1893" s="280"/>
      <c r="H1893" s="293"/>
      <c r="I1893" s="292"/>
      <c r="J1893" s="292"/>
      <c r="K1893" s="200"/>
      <c r="L1893" s="200"/>
      <c r="M1893" s="89" t="str">
        <f>IFERROR(VLOOKUP(H1893,Lijsten!$H$1:$I$100,2,0),"")</f>
        <v/>
      </c>
      <c r="N1893" s="89" t="str" cm="1">
        <f t="array" ref="N1893">IFERROR(_xlfn.IFS(AND(LEFT(F1893,6)="Arbeid",RIGHT(F1893,3)&lt;&gt;"IKS"),IFERROR(VLOOKUP($G1893,Tb_KostenTypen[],2,0),"tarief"),RIGHT(F1893,3)="IKS","Uurtarief",LEFT(F1893,6)="Arbeid","Uurtarief",AND(LEFT(F1893,8)="Bijdrage",RIGHT(F1893,15)="(vrijwilligers)"),"Vast tarief"),"")</f>
        <v/>
      </c>
      <c r="O1893" s="90"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0"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1"/>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59"/>
      <c r="Z1893" s="49"/>
      <c r="AA1893" s="37" t="str" cm="1">
        <f t="array" ref="AA1893">IFERROR(IF(INDEX(SubsidieTabel!$Q$1:$T$9,MATCH($F1893,SubsidieTabel!$Q$1:$Q$9,0),IFERROR(MATCH(Methode_Keuze,SubsidieTabel!$Q$1:$T$1,0),2))&lt;&gt;1=TRUE,"ja",""),"")</f>
        <v/>
      </c>
    </row>
    <row r="1894" spans="1:27" ht="15" customHeight="1" x14ac:dyDescent="0.25">
      <c r="A1894" s="85"/>
      <c r="B1894" s="217" t="str">
        <f>IF(A1894&lt;&gt;"",_xlfn.MAXIFS($B$1:B1893,$A$1:A1893,A1894)+1,"")</f>
        <v/>
      </c>
      <c r="C1894" s="50"/>
      <c r="D1894" s="50"/>
      <c r="E1894" s="50"/>
      <c r="F1894" s="50"/>
      <c r="G1894" s="280"/>
      <c r="H1894" s="293"/>
      <c r="I1894" s="292"/>
      <c r="J1894" s="292"/>
      <c r="K1894" s="200"/>
      <c r="L1894" s="200"/>
      <c r="M1894" s="89" t="str">
        <f>IFERROR(VLOOKUP(H1894,Lijsten!$H$1:$I$100,2,0),"")</f>
        <v/>
      </c>
      <c r="N1894" s="89" t="str" cm="1">
        <f t="array" ref="N1894">IFERROR(_xlfn.IFS(AND(LEFT(F1894,6)="Arbeid",RIGHT(F1894,3)&lt;&gt;"IKS"),IFERROR(VLOOKUP($G1894,Tb_KostenTypen[],2,0),"tarief"),RIGHT(F1894,3)="IKS","Uurtarief",LEFT(F1894,6)="Arbeid","Uurtarief",AND(LEFT(F1894,8)="Bijdrage",RIGHT(F1894,15)="(vrijwilligers)"),"Vast tarief"),"")</f>
        <v/>
      </c>
      <c r="O1894" s="90"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0"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1"/>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59"/>
      <c r="Z1894" s="49"/>
      <c r="AA1894" s="37" t="str" cm="1">
        <f t="array" ref="AA1894">IFERROR(IF(INDEX(SubsidieTabel!$Q$1:$T$9,MATCH($F1894,SubsidieTabel!$Q$1:$Q$9,0),IFERROR(MATCH(Methode_Keuze,SubsidieTabel!$Q$1:$T$1,0),2))&lt;&gt;1=TRUE,"ja",""),"")</f>
        <v/>
      </c>
    </row>
    <row r="1895" spans="1:27" ht="15" customHeight="1" x14ac:dyDescent="0.25">
      <c r="A1895" s="85"/>
      <c r="B1895" s="217" t="str">
        <f>IF(A1895&lt;&gt;"",_xlfn.MAXIFS($B$1:B1894,$A$1:A1894,A1895)+1,"")</f>
        <v/>
      </c>
      <c r="C1895" s="50"/>
      <c r="D1895" s="50"/>
      <c r="E1895" s="50"/>
      <c r="F1895" s="50"/>
      <c r="G1895" s="280"/>
      <c r="H1895" s="293"/>
      <c r="I1895" s="292"/>
      <c r="J1895" s="292"/>
      <c r="K1895" s="200"/>
      <c r="L1895" s="200"/>
      <c r="M1895" s="89" t="str">
        <f>IFERROR(VLOOKUP(H1895,Lijsten!$H$1:$I$100,2,0),"")</f>
        <v/>
      </c>
      <c r="N1895" s="89" t="str" cm="1">
        <f t="array" ref="N1895">IFERROR(_xlfn.IFS(AND(LEFT(F1895,6)="Arbeid",RIGHT(F1895,3)&lt;&gt;"IKS"),IFERROR(VLOOKUP($G1895,Tb_KostenTypen[],2,0),"tarief"),RIGHT(F1895,3)="IKS","Uurtarief",LEFT(F1895,6)="Arbeid","Uurtarief",AND(LEFT(F1895,8)="Bijdrage",RIGHT(F1895,15)="(vrijwilligers)"),"Vast tarief"),"")</f>
        <v/>
      </c>
      <c r="O1895" s="90"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0"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1"/>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59"/>
      <c r="Z1895" s="49"/>
      <c r="AA1895" s="37" t="str" cm="1">
        <f t="array" ref="AA1895">IFERROR(IF(INDEX(SubsidieTabel!$Q$1:$T$9,MATCH($F1895,SubsidieTabel!$Q$1:$Q$9,0),IFERROR(MATCH(Methode_Keuze,SubsidieTabel!$Q$1:$T$1,0),2))&lt;&gt;1=TRUE,"ja",""),"")</f>
        <v/>
      </c>
    </row>
    <row r="1896" spans="1:27" ht="15" customHeight="1" x14ac:dyDescent="0.25">
      <c r="A1896" s="85"/>
      <c r="B1896" s="217" t="str">
        <f>IF(A1896&lt;&gt;"",_xlfn.MAXIFS($B$1:B1895,$A$1:A1895,A1896)+1,"")</f>
        <v/>
      </c>
      <c r="C1896" s="50"/>
      <c r="D1896" s="50"/>
      <c r="E1896" s="50"/>
      <c r="F1896" s="50"/>
      <c r="G1896" s="280"/>
      <c r="H1896" s="293"/>
      <c r="I1896" s="292"/>
      <c r="J1896" s="292"/>
      <c r="K1896" s="200"/>
      <c r="L1896" s="200"/>
      <c r="M1896" s="89" t="str">
        <f>IFERROR(VLOOKUP(H1896,Lijsten!$H$1:$I$100,2,0),"")</f>
        <v/>
      </c>
      <c r="N1896" s="89" t="str" cm="1">
        <f t="array" ref="N1896">IFERROR(_xlfn.IFS(AND(LEFT(F1896,6)="Arbeid",RIGHT(F1896,3)&lt;&gt;"IKS"),IFERROR(VLOOKUP($G1896,Tb_KostenTypen[],2,0),"tarief"),RIGHT(F1896,3)="IKS","Uurtarief",LEFT(F1896,6)="Arbeid","Uurtarief",AND(LEFT(F1896,8)="Bijdrage",RIGHT(F1896,15)="(vrijwilligers)"),"Vast tarief"),"")</f>
        <v/>
      </c>
      <c r="O1896" s="90"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0"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1"/>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59"/>
      <c r="Z1896" s="49"/>
      <c r="AA1896" s="37" t="str" cm="1">
        <f t="array" ref="AA1896">IFERROR(IF(INDEX(SubsidieTabel!$Q$1:$T$9,MATCH($F1896,SubsidieTabel!$Q$1:$Q$9,0),IFERROR(MATCH(Methode_Keuze,SubsidieTabel!$Q$1:$T$1,0),2))&lt;&gt;1=TRUE,"ja",""),"")</f>
        <v/>
      </c>
    </row>
    <row r="1897" spans="1:27" ht="15" customHeight="1" x14ac:dyDescent="0.25">
      <c r="A1897" s="85"/>
      <c r="B1897" s="217" t="str">
        <f>IF(A1897&lt;&gt;"",_xlfn.MAXIFS($B$1:B1896,$A$1:A1896,A1897)+1,"")</f>
        <v/>
      </c>
      <c r="C1897" s="50"/>
      <c r="D1897" s="50"/>
      <c r="E1897" s="50"/>
      <c r="F1897" s="50"/>
      <c r="G1897" s="280"/>
      <c r="H1897" s="293"/>
      <c r="I1897" s="292"/>
      <c r="J1897" s="292"/>
      <c r="K1897" s="200"/>
      <c r="L1897" s="200"/>
      <c r="M1897" s="89" t="str">
        <f>IFERROR(VLOOKUP(H1897,Lijsten!$H$1:$I$100,2,0),"")</f>
        <v/>
      </c>
      <c r="N1897" s="89" t="str" cm="1">
        <f t="array" ref="N1897">IFERROR(_xlfn.IFS(AND(LEFT(F1897,6)="Arbeid",RIGHT(F1897,3)&lt;&gt;"IKS"),IFERROR(VLOOKUP($G1897,Tb_KostenTypen[],2,0),"tarief"),RIGHT(F1897,3)="IKS","Uurtarief",LEFT(F1897,6)="Arbeid","Uurtarief",AND(LEFT(F1897,8)="Bijdrage",RIGHT(F1897,15)="(vrijwilligers)"),"Vast tarief"),"")</f>
        <v/>
      </c>
      <c r="O1897" s="90"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0"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1"/>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59"/>
      <c r="Z1897" s="49"/>
      <c r="AA1897" s="37" t="str" cm="1">
        <f t="array" ref="AA1897">IFERROR(IF(INDEX(SubsidieTabel!$Q$1:$T$9,MATCH($F1897,SubsidieTabel!$Q$1:$Q$9,0),IFERROR(MATCH(Methode_Keuze,SubsidieTabel!$Q$1:$T$1,0),2))&lt;&gt;1=TRUE,"ja",""),"")</f>
        <v/>
      </c>
    </row>
    <row r="1898" spans="1:27" ht="15" customHeight="1" x14ac:dyDescent="0.25">
      <c r="A1898" s="85"/>
      <c r="B1898" s="217" t="str">
        <f>IF(A1898&lt;&gt;"",_xlfn.MAXIFS($B$1:B1897,$A$1:A1897,A1898)+1,"")</f>
        <v/>
      </c>
      <c r="C1898" s="50"/>
      <c r="D1898" s="50"/>
      <c r="E1898" s="50"/>
      <c r="F1898" s="50"/>
      <c r="G1898" s="280"/>
      <c r="H1898" s="293"/>
      <c r="I1898" s="292"/>
      <c r="J1898" s="292"/>
      <c r="K1898" s="200"/>
      <c r="L1898" s="200"/>
      <c r="M1898" s="89" t="str">
        <f>IFERROR(VLOOKUP(H1898,Lijsten!$H$1:$I$100,2,0),"")</f>
        <v/>
      </c>
      <c r="N1898" s="89" t="str" cm="1">
        <f t="array" ref="N1898">IFERROR(_xlfn.IFS(AND(LEFT(F1898,6)="Arbeid",RIGHT(F1898,3)&lt;&gt;"IKS"),IFERROR(VLOOKUP($G1898,Tb_KostenTypen[],2,0),"tarief"),RIGHT(F1898,3)="IKS","Uurtarief",LEFT(F1898,6)="Arbeid","Uurtarief",AND(LEFT(F1898,8)="Bijdrage",RIGHT(F1898,15)="(vrijwilligers)"),"Vast tarief"),"")</f>
        <v/>
      </c>
      <c r="O1898" s="90"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0"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1"/>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59"/>
      <c r="Z1898" s="49"/>
      <c r="AA1898" s="37" t="str" cm="1">
        <f t="array" ref="AA1898">IFERROR(IF(INDEX(SubsidieTabel!$Q$1:$T$9,MATCH($F1898,SubsidieTabel!$Q$1:$Q$9,0),IFERROR(MATCH(Methode_Keuze,SubsidieTabel!$Q$1:$T$1,0),2))&lt;&gt;1=TRUE,"ja",""),"")</f>
        <v/>
      </c>
    </row>
    <row r="1899" spans="1:27" ht="15" customHeight="1" x14ac:dyDescent="0.25">
      <c r="A1899" s="85"/>
      <c r="B1899" s="217" t="str">
        <f>IF(A1899&lt;&gt;"",_xlfn.MAXIFS($B$1:B1898,$A$1:A1898,A1899)+1,"")</f>
        <v/>
      </c>
      <c r="C1899" s="50"/>
      <c r="D1899" s="50"/>
      <c r="E1899" s="50"/>
      <c r="F1899" s="50"/>
      <c r="G1899" s="280"/>
      <c r="H1899" s="293"/>
      <c r="I1899" s="292"/>
      <c r="J1899" s="292"/>
      <c r="K1899" s="200"/>
      <c r="L1899" s="200"/>
      <c r="M1899" s="89" t="str">
        <f>IFERROR(VLOOKUP(H1899,Lijsten!$H$1:$I$100,2,0),"")</f>
        <v/>
      </c>
      <c r="N1899" s="89" t="str" cm="1">
        <f t="array" ref="N1899">IFERROR(_xlfn.IFS(AND(LEFT(F1899,6)="Arbeid",RIGHT(F1899,3)&lt;&gt;"IKS"),IFERROR(VLOOKUP($G1899,Tb_KostenTypen[],2,0),"tarief"),RIGHT(F1899,3)="IKS","Uurtarief",LEFT(F1899,6)="Arbeid","Uurtarief",AND(LEFT(F1899,8)="Bijdrage",RIGHT(F1899,15)="(vrijwilligers)"),"Vast tarief"),"")</f>
        <v/>
      </c>
      <c r="O1899" s="90"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0"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1"/>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59"/>
      <c r="Z1899" s="49"/>
      <c r="AA1899" s="37" t="str" cm="1">
        <f t="array" ref="AA1899">IFERROR(IF(INDEX(SubsidieTabel!$Q$1:$T$9,MATCH($F1899,SubsidieTabel!$Q$1:$Q$9,0),IFERROR(MATCH(Methode_Keuze,SubsidieTabel!$Q$1:$T$1,0),2))&lt;&gt;1=TRUE,"ja",""),"")</f>
        <v/>
      </c>
    </row>
    <row r="1900" spans="1:27" ht="15" customHeight="1" x14ac:dyDescent="0.25">
      <c r="A1900" s="85"/>
      <c r="B1900" s="217" t="str">
        <f>IF(A1900&lt;&gt;"",_xlfn.MAXIFS($B$1:B1899,$A$1:A1899,A1900)+1,"")</f>
        <v/>
      </c>
      <c r="C1900" s="50"/>
      <c r="D1900" s="50"/>
      <c r="E1900" s="50"/>
      <c r="F1900" s="50"/>
      <c r="G1900" s="280"/>
      <c r="H1900" s="293"/>
      <c r="I1900" s="292"/>
      <c r="J1900" s="292"/>
      <c r="K1900" s="200"/>
      <c r="L1900" s="200"/>
      <c r="M1900" s="89" t="str">
        <f>IFERROR(VLOOKUP(H1900,Lijsten!$H$1:$I$100,2,0),"")</f>
        <v/>
      </c>
      <c r="N1900" s="89" t="str" cm="1">
        <f t="array" ref="N1900">IFERROR(_xlfn.IFS(AND(LEFT(F1900,6)="Arbeid",RIGHT(F1900,3)&lt;&gt;"IKS"),IFERROR(VLOOKUP($G1900,Tb_KostenTypen[],2,0),"tarief"),RIGHT(F1900,3)="IKS","Uurtarief",LEFT(F1900,6)="Arbeid","Uurtarief",AND(LEFT(F1900,8)="Bijdrage",RIGHT(F1900,15)="(vrijwilligers)"),"Vast tarief"),"")</f>
        <v/>
      </c>
      <c r="O1900" s="90"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0"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1"/>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59"/>
      <c r="Z1900" s="49"/>
      <c r="AA1900" s="37" t="str" cm="1">
        <f t="array" ref="AA1900">IFERROR(IF(INDEX(SubsidieTabel!$Q$1:$T$9,MATCH($F1900,SubsidieTabel!$Q$1:$Q$9,0),IFERROR(MATCH(Methode_Keuze,SubsidieTabel!$Q$1:$T$1,0),2))&lt;&gt;1=TRUE,"ja",""),"")</f>
        <v/>
      </c>
    </row>
    <row r="1901" spans="1:27" ht="15" customHeight="1" x14ac:dyDescent="0.25">
      <c r="A1901" s="85"/>
      <c r="B1901" s="217" t="str">
        <f>IF(A1901&lt;&gt;"",_xlfn.MAXIFS($B$1:B1900,$A$1:A1900,A1901)+1,"")</f>
        <v/>
      </c>
      <c r="C1901" s="50"/>
      <c r="D1901" s="50"/>
      <c r="E1901" s="50"/>
      <c r="F1901" s="50"/>
      <c r="G1901" s="280"/>
      <c r="H1901" s="293"/>
      <c r="I1901" s="292"/>
      <c r="J1901" s="292"/>
      <c r="K1901" s="200"/>
      <c r="L1901" s="200"/>
      <c r="M1901" s="89" t="str">
        <f>IFERROR(VLOOKUP(H1901,Lijsten!$H$1:$I$100,2,0),"")</f>
        <v/>
      </c>
      <c r="N1901" s="89" t="str" cm="1">
        <f t="array" ref="N1901">IFERROR(_xlfn.IFS(AND(LEFT(F1901,6)="Arbeid",RIGHT(F1901,3)&lt;&gt;"IKS"),IFERROR(VLOOKUP($G1901,Tb_KostenTypen[],2,0),"tarief"),RIGHT(F1901,3)="IKS","Uurtarief",LEFT(F1901,6)="Arbeid","Uurtarief",AND(LEFT(F1901,8)="Bijdrage",RIGHT(F1901,15)="(vrijwilligers)"),"Vast tarief"),"")</f>
        <v/>
      </c>
      <c r="O1901" s="90"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0"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1"/>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59"/>
      <c r="Z1901" s="49"/>
      <c r="AA1901" s="37" t="str" cm="1">
        <f t="array" ref="AA1901">IFERROR(IF(INDEX(SubsidieTabel!$Q$1:$T$9,MATCH($F1901,SubsidieTabel!$Q$1:$Q$9,0),IFERROR(MATCH(Methode_Keuze,SubsidieTabel!$Q$1:$T$1,0),2))&lt;&gt;1=TRUE,"ja",""),"")</f>
        <v/>
      </c>
    </row>
    <row r="1902" spans="1:27" ht="15" customHeight="1" x14ac:dyDescent="0.25">
      <c r="A1902" s="85"/>
      <c r="B1902" s="217" t="str">
        <f>IF(A1902&lt;&gt;"",_xlfn.MAXIFS($B$1:B1901,$A$1:A1901,A1902)+1,"")</f>
        <v/>
      </c>
      <c r="C1902" s="50"/>
      <c r="D1902" s="50"/>
      <c r="E1902" s="50"/>
      <c r="F1902" s="50"/>
      <c r="G1902" s="280"/>
      <c r="H1902" s="293"/>
      <c r="I1902" s="292"/>
      <c r="J1902" s="292"/>
      <c r="K1902" s="200"/>
      <c r="L1902" s="200"/>
      <c r="M1902" s="89" t="str">
        <f>IFERROR(VLOOKUP(H1902,Lijsten!$H$1:$I$100,2,0),"")</f>
        <v/>
      </c>
      <c r="N1902" s="89" t="str" cm="1">
        <f t="array" ref="N1902">IFERROR(_xlfn.IFS(AND(LEFT(F1902,6)="Arbeid",RIGHT(F1902,3)&lt;&gt;"IKS"),IFERROR(VLOOKUP($G1902,Tb_KostenTypen[],2,0),"tarief"),RIGHT(F1902,3)="IKS","Uurtarief",LEFT(F1902,6)="Arbeid","Uurtarief",AND(LEFT(F1902,8)="Bijdrage",RIGHT(F1902,15)="(vrijwilligers)"),"Vast tarief"),"")</f>
        <v/>
      </c>
      <c r="O1902" s="90"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0"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1"/>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59"/>
      <c r="Z1902" s="49"/>
      <c r="AA1902" s="37" t="str" cm="1">
        <f t="array" ref="AA1902">IFERROR(IF(INDEX(SubsidieTabel!$Q$1:$T$9,MATCH($F1902,SubsidieTabel!$Q$1:$Q$9,0),IFERROR(MATCH(Methode_Keuze,SubsidieTabel!$Q$1:$T$1,0),2))&lt;&gt;1=TRUE,"ja",""),"")</f>
        <v/>
      </c>
    </row>
    <row r="1903" spans="1:27" ht="15" customHeight="1" x14ac:dyDescent="0.25">
      <c r="A1903" s="85"/>
      <c r="B1903" s="217" t="str">
        <f>IF(A1903&lt;&gt;"",_xlfn.MAXIFS($B$1:B1902,$A$1:A1902,A1903)+1,"")</f>
        <v/>
      </c>
      <c r="C1903" s="50"/>
      <c r="D1903" s="50"/>
      <c r="E1903" s="50"/>
      <c r="F1903" s="50"/>
      <c r="G1903" s="280"/>
      <c r="H1903" s="293"/>
      <c r="I1903" s="292"/>
      <c r="J1903" s="292"/>
      <c r="K1903" s="200"/>
      <c r="L1903" s="200"/>
      <c r="M1903" s="89" t="str">
        <f>IFERROR(VLOOKUP(H1903,Lijsten!$H$1:$I$100,2,0),"")</f>
        <v/>
      </c>
      <c r="N1903" s="89" t="str" cm="1">
        <f t="array" ref="N1903">IFERROR(_xlfn.IFS(AND(LEFT(F1903,6)="Arbeid",RIGHT(F1903,3)&lt;&gt;"IKS"),IFERROR(VLOOKUP($G1903,Tb_KostenTypen[],2,0),"tarief"),RIGHT(F1903,3)="IKS","Uurtarief",LEFT(F1903,6)="Arbeid","Uurtarief",AND(LEFT(F1903,8)="Bijdrage",RIGHT(F1903,15)="(vrijwilligers)"),"Vast tarief"),"")</f>
        <v/>
      </c>
      <c r="O1903" s="90"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0"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1"/>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59"/>
      <c r="Z1903" s="49"/>
      <c r="AA1903" s="37" t="str" cm="1">
        <f t="array" ref="AA1903">IFERROR(IF(INDEX(SubsidieTabel!$Q$1:$T$9,MATCH($F1903,SubsidieTabel!$Q$1:$Q$9,0),IFERROR(MATCH(Methode_Keuze,SubsidieTabel!$Q$1:$T$1,0),2))&lt;&gt;1=TRUE,"ja",""),"")</f>
        <v/>
      </c>
    </row>
    <row r="1904" spans="1:27" ht="15" customHeight="1" x14ac:dyDescent="0.25">
      <c r="A1904" s="85"/>
      <c r="B1904" s="217" t="str">
        <f>IF(A1904&lt;&gt;"",_xlfn.MAXIFS($B$1:B1903,$A$1:A1903,A1904)+1,"")</f>
        <v/>
      </c>
      <c r="C1904" s="50"/>
      <c r="D1904" s="50"/>
      <c r="E1904" s="50"/>
      <c r="F1904" s="50"/>
      <c r="G1904" s="280"/>
      <c r="H1904" s="293"/>
      <c r="I1904" s="292"/>
      <c r="J1904" s="292"/>
      <c r="K1904" s="200"/>
      <c r="L1904" s="200"/>
      <c r="M1904" s="89" t="str">
        <f>IFERROR(VLOOKUP(H1904,Lijsten!$H$1:$I$100,2,0),"")</f>
        <v/>
      </c>
      <c r="N1904" s="89" t="str" cm="1">
        <f t="array" ref="N1904">IFERROR(_xlfn.IFS(AND(LEFT(F1904,6)="Arbeid",RIGHT(F1904,3)&lt;&gt;"IKS"),IFERROR(VLOOKUP($G1904,Tb_KostenTypen[],2,0),"tarief"),RIGHT(F1904,3)="IKS","Uurtarief",LEFT(F1904,6)="Arbeid","Uurtarief",AND(LEFT(F1904,8)="Bijdrage",RIGHT(F1904,15)="(vrijwilligers)"),"Vast tarief"),"")</f>
        <v/>
      </c>
      <c r="O1904" s="90"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0"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1"/>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59"/>
      <c r="Z1904" s="49"/>
      <c r="AA1904" s="37" t="str" cm="1">
        <f t="array" ref="AA1904">IFERROR(IF(INDEX(SubsidieTabel!$Q$1:$T$9,MATCH($F1904,SubsidieTabel!$Q$1:$Q$9,0),IFERROR(MATCH(Methode_Keuze,SubsidieTabel!$Q$1:$T$1,0),2))&lt;&gt;1=TRUE,"ja",""),"")</f>
        <v/>
      </c>
    </row>
    <row r="1905" spans="1:27" ht="15" customHeight="1" x14ac:dyDescent="0.25">
      <c r="A1905" s="85"/>
      <c r="B1905" s="217" t="str">
        <f>IF(A1905&lt;&gt;"",_xlfn.MAXIFS($B$1:B1904,$A$1:A1904,A1905)+1,"")</f>
        <v/>
      </c>
      <c r="C1905" s="50"/>
      <c r="D1905" s="50"/>
      <c r="E1905" s="50"/>
      <c r="F1905" s="50"/>
      <c r="G1905" s="280"/>
      <c r="H1905" s="293"/>
      <c r="I1905" s="292"/>
      <c r="J1905" s="292"/>
      <c r="K1905" s="200"/>
      <c r="L1905" s="200"/>
      <c r="M1905" s="89" t="str">
        <f>IFERROR(VLOOKUP(H1905,Lijsten!$H$1:$I$100,2,0),"")</f>
        <v/>
      </c>
      <c r="N1905" s="89" t="str" cm="1">
        <f t="array" ref="N1905">IFERROR(_xlfn.IFS(AND(LEFT(F1905,6)="Arbeid",RIGHT(F1905,3)&lt;&gt;"IKS"),IFERROR(VLOOKUP($G1905,Tb_KostenTypen[],2,0),"tarief"),RIGHT(F1905,3)="IKS","Uurtarief",LEFT(F1905,6)="Arbeid","Uurtarief",AND(LEFT(F1905,8)="Bijdrage",RIGHT(F1905,15)="(vrijwilligers)"),"Vast tarief"),"")</f>
        <v/>
      </c>
      <c r="O1905" s="90"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0"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1"/>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59"/>
      <c r="Z1905" s="49"/>
      <c r="AA1905" s="37" t="str" cm="1">
        <f t="array" ref="AA1905">IFERROR(IF(INDEX(SubsidieTabel!$Q$1:$T$9,MATCH($F1905,SubsidieTabel!$Q$1:$Q$9,0),IFERROR(MATCH(Methode_Keuze,SubsidieTabel!$Q$1:$T$1,0),2))&lt;&gt;1=TRUE,"ja",""),"")</f>
        <v/>
      </c>
    </row>
    <row r="1906" spans="1:27" ht="15" customHeight="1" x14ac:dyDescent="0.25">
      <c r="A1906" s="85"/>
      <c r="B1906" s="217" t="str">
        <f>IF(A1906&lt;&gt;"",_xlfn.MAXIFS($B$1:B1905,$A$1:A1905,A1906)+1,"")</f>
        <v/>
      </c>
      <c r="C1906" s="50"/>
      <c r="D1906" s="50"/>
      <c r="E1906" s="50"/>
      <c r="F1906" s="50"/>
      <c r="G1906" s="280"/>
      <c r="H1906" s="293"/>
      <c r="I1906" s="292"/>
      <c r="J1906" s="292"/>
      <c r="K1906" s="200"/>
      <c r="L1906" s="200"/>
      <c r="M1906" s="89" t="str">
        <f>IFERROR(VLOOKUP(H1906,Lijsten!$H$1:$I$100,2,0),"")</f>
        <v/>
      </c>
      <c r="N1906" s="89" t="str" cm="1">
        <f t="array" ref="N1906">IFERROR(_xlfn.IFS(AND(LEFT(F1906,6)="Arbeid",RIGHT(F1906,3)&lt;&gt;"IKS"),IFERROR(VLOOKUP($G1906,Tb_KostenTypen[],2,0),"tarief"),RIGHT(F1906,3)="IKS","Uurtarief",LEFT(F1906,6)="Arbeid","Uurtarief",AND(LEFT(F1906,8)="Bijdrage",RIGHT(F1906,15)="(vrijwilligers)"),"Vast tarief"),"")</f>
        <v/>
      </c>
      <c r="O1906" s="90"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0"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1"/>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59"/>
      <c r="Z1906" s="49"/>
      <c r="AA1906" s="37" t="str" cm="1">
        <f t="array" ref="AA1906">IFERROR(IF(INDEX(SubsidieTabel!$Q$1:$T$9,MATCH($F1906,SubsidieTabel!$Q$1:$Q$9,0),IFERROR(MATCH(Methode_Keuze,SubsidieTabel!$Q$1:$T$1,0),2))&lt;&gt;1=TRUE,"ja",""),"")</f>
        <v/>
      </c>
    </row>
    <row r="1907" spans="1:27" ht="15" customHeight="1" x14ac:dyDescent="0.25">
      <c r="A1907" s="85"/>
      <c r="B1907" s="217" t="str">
        <f>IF(A1907&lt;&gt;"",_xlfn.MAXIFS($B$1:B1906,$A$1:A1906,A1907)+1,"")</f>
        <v/>
      </c>
      <c r="C1907" s="50"/>
      <c r="D1907" s="50"/>
      <c r="E1907" s="50"/>
      <c r="F1907" s="50"/>
      <c r="G1907" s="280"/>
      <c r="H1907" s="293"/>
      <c r="I1907" s="292"/>
      <c r="J1907" s="292"/>
      <c r="K1907" s="200"/>
      <c r="L1907" s="200"/>
      <c r="M1907" s="89" t="str">
        <f>IFERROR(VLOOKUP(H1907,Lijsten!$H$1:$I$100,2,0),"")</f>
        <v/>
      </c>
      <c r="N1907" s="89" t="str" cm="1">
        <f t="array" ref="N1907">IFERROR(_xlfn.IFS(AND(LEFT(F1907,6)="Arbeid",RIGHT(F1907,3)&lt;&gt;"IKS"),IFERROR(VLOOKUP($G1907,Tb_KostenTypen[],2,0),"tarief"),RIGHT(F1907,3)="IKS","Uurtarief",LEFT(F1907,6)="Arbeid","Uurtarief",AND(LEFT(F1907,8)="Bijdrage",RIGHT(F1907,15)="(vrijwilligers)"),"Vast tarief"),"")</f>
        <v/>
      </c>
      <c r="O1907" s="90"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0"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1"/>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59"/>
      <c r="Z1907" s="49"/>
      <c r="AA1907" s="37" t="str" cm="1">
        <f t="array" ref="AA1907">IFERROR(IF(INDEX(SubsidieTabel!$Q$1:$T$9,MATCH($F1907,SubsidieTabel!$Q$1:$Q$9,0),IFERROR(MATCH(Methode_Keuze,SubsidieTabel!$Q$1:$T$1,0),2))&lt;&gt;1=TRUE,"ja",""),"")</f>
        <v/>
      </c>
    </row>
    <row r="1908" spans="1:27" ht="15" customHeight="1" x14ac:dyDescent="0.25">
      <c r="A1908" s="85"/>
      <c r="B1908" s="217" t="str">
        <f>IF(A1908&lt;&gt;"",_xlfn.MAXIFS($B$1:B1907,$A$1:A1907,A1908)+1,"")</f>
        <v/>
      </c>
      <c r="C1908" s="50"/>
      <c r="D1908" s="50"/>
      <c r="E1908" s="50"/>
      <c r="F1908" s="50"/>
      <c r="G1908" s="280"/>
      <c r="H1908" s="293"/>
      <c r="I1908" s="292"/>
      <c r="J1908" s="292"/>
      <c r="K1908" s="200"/>
      <c r="L1908" s="200"/>
      <c r="M1908" s="89" t="str">
        <f>IFERROR(VLOOKUP(H1908,Lijsten!$H$1:$I$100,2,0),"")</f>
        <v/>
      </c>
      <c r="N1908" s="89" t="str" cm="1">
        <f t="array" ref="N1908">IFERROR(_xlfn.IFS(AND(LEFT(F1908,6)="Arbeid",RIGHT(F1908,3)&lt;&gt;"IKS"),IFERROR(VLOOKUP($G1908,Tb_KostenTypen[],2,0),"tarief"),RIGHT(F1908,3)="IKS","Uurtarief",LEFT(F1908,6)="Arbeid","Uurtarief",AND(LEFT(F1908,8)="Bijdrage",RIGHT(F1908,15)="(vrijwilligers)"),"Vast tarief"),"")</f>
        <v/>
      </c>
      <c r="O1908" s="90"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0"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1"/>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59"/>
      <c r="Z1908" s="49"/>
      <c r="AA1908" s="37" t="str" cm="1">
        <f t="array" ref="AA1908">IFERROR(IF(INDEX(SubsidieTabel!$Q$1:$T$9,MATCH($F1908,SubsidieTabel!$Q$1:$Q$9,0),IFERROR(MATCH(Methode_Keuze,SubsidieTabel!$Q$1:$T$1,0),2))&lt;&gt;1=TRUE,"ja",""),"")</f>
        <v/>
      </c>
    </row>
    <row r="1909" spans="1:27" ht="15" customHeight="1" x14ac:dyDescent="0.25">
      <c r="A1909" s="85"/>
      <c r="B1909" s="217" t="str">
        <f>IF(A1909&lt;&gt;"",_xlfn.MAXIFS($B$1:B1908,$A$1:A1908,A1909)+1,"")</f>
        <v/>
      </c>
      <c r="C1909" s="50"/>
      <c r="D1909" s="50"/>
      <c r="E1909" s="50"/>
      <c r="F1909" s="50"/>
      <c r="G1909" s="280"/>
      <c r="H1909" s="293"/>
      <c r="I1909" s="292"/>
      <c r="J1909" s="292"/>
      <c r="K1909" s="200"/>
      <c r="L1909" s="200"/>
      <c r="M1909" s="89" t="str">
        <f>IFERROR(VLOOKUP(H1909,Lijsten!$H$1:$I$100,2,0),"")</f>
        <v/>
      </c>
      <c r="N1909" s="89" t="str" cm="1">
        <f t="array" ref="N1909">IFERROR(_xlfn.IFS(AND(LEFT(F1909,6)="Arbeid",RIGHT(F1909,3)&lt;&gt;"IKS"),IFERROR(VLOOKUP($G1909,Tb_KostenTypen[],2,0),"tarief"),RIGHT(F1909,3)="IKS","Uurtarief",LEFT(F1909,6)="Arbeid","Uurtarief",AND(LEFT(F1909,8)="Bijdrage",RIGHT(F1909,15)="(vrijwilligers)"),"Vast tarief"),"")</f>
        <v/>
      </c>
      <c r="O1909" s="90"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0"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1"/>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59"/>
      <c r="Z1909" s="49"/>
      <c r="AA1909" s="37" t="str" cm="1">
        <f t="array" ref="AA1909">IFERROR(IF(INDEX(SubsidieTabel!$Q$1:$T$9,MATCH($F1909,SubsidieTabel!$Q$1:$Q$9,0),IFERROR(MATCH(Methode_Keuze,SubsidieTabel!$Q$1:$T$1,0),2))&lt;&gt;1=TRUE,"ja",""),"")</f>
        <v/>
      </c>
    </row>
    <row r="1910" spans="1:27" ht="15" customHeight="1" x14ac:dyDescent="0.25">
      <c r="A1910" s="85"/>
      <c r="B1910" s="217" t="str">
        <f>IF(A1910&lt;&gt;"",_xlfn.MAXIFS($B$1:B1909,$A$1:A1909,A1910)+1,"")</f>
        <v/>
      </c>
      <c r="C1910" s="50"/>
      <c r="D1910" s="50"/>
      <c r="E1910" s="50"/>
      <c r="F1910" s="50"/>
      <c r="G1910" s="280"/>
      <c r="H1910" s="293"/>
      <c r="I1910" s="292"/>
      <c r="J1910" s="292"/>
      <c r="K1910" s="200"/>
      <c r="L1910" s="200"/>
      <c r="M1910" s="89" t="str">
        <f>IFERROR(VLOOKUP(H1910,Lijsten!$H$1:$I$100,2,0),"")</f>
        <v/>
      </c>
      <c r="N1910" s="89" t="str" cm="1">
        <f t="array" ref="N1910">IFERROR(_xlfn.IFS(AND(LEFT(F1910,6)="Arbeid",RIGHT(F1910,3)&lt;&gt;"IKS"),IFERROR(VLOOKUP($G1910,Tb_KostenTypen[],2,0),"tarief"),RIGHT(F1910,3)="IKS","Uurtarief",LEFT(F1910,6)="Arbeid","Uurtarief",AND(LEFT(F1910,8)="Bijdrage",RIGHT(F1910,15)="(vrijwilligers)"),"Vast tarief"),"")</f>
        <v/>
      </c>
      <c r="O1910" s="90"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0"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1"/>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59"/>
      <c r="Z1910" s="49"/>
      <c r="AA1910" s="37" t="str" cm="1">
        <f t="array" ref="AA1910">IFERROR(IF(INDEX(SubsidieTabel!$Q$1:$T$9,MATCH($F1910,SubsidieTabel!$Q$1:$Q$9,0),IFERROR(MATCH(Methode_Keuze,SubsidieTabel!$Q$1:$T$1,0),2))&lt;&gt;1=TRUE,"ja",""),"")</f>
        <v/>
      </c>
    </row>
    <row r="1911" spans="1:27" ht="15" customHeight="1" x14ac:dyDescent="0.25">
      <c r="A1911" s="85"/>
      <c r="B1911" s="217" t="str">
        <f>IF(A1911&lt;&gt;"",_xlfn.MAXIFS($B$1:B1910,$A$1:A1910,A1911)+1,"")</f>
        <v/>
      </c>
      <c r="C1911" s="50"/>
      <c r="D1911" s="50"/>
      <c r="E1911" s="50"/>
      <c r="F1911" s="50"/>
      <c r="G1911" s="280"/>
      <c r="H1911" s="293"/>
      <c r="I1911" s="292"/>
      <c r="J1911" s="292"/>
      <c r="K1911" s="200"/>
      <c r="L1911" s="200"/>
      <c r="M1911" s="89" t="str">
        <f>IFERROR(VLOOKUP(H1911,Lijsten!$H$1:$I$100,2,0),"")</f>
        <v/>
      </c>
      <c r="N1911" s="89" t="str" cm="1">
        <f t="array" ref="N1911">IFERROR(_xlfn.IFS(AND(LEFT(F1911,6)="Arbeid",RIGHT(F1911,3)&lt;&gt;"IKS"),IFERROR(VLOOKUP($G1911,Tb_KostenTypen[],2,0),"tarief"),RIGHT(F1911,3)="IKS","Uurtarief",LEFT(F1911,6)="Arbeid","Uurtarief",AND(LEFT(F1911,8)="Bijdrage",RIGHT(F1911,15)="(vrijwilligers)"),"Vast tarief"),"")</f>
        <v/>
      </c>
      <c r="O1911" s="90"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0"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1"/>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59"/>
      <c r="Z1911" s="49"/>
      <c r="AA1911" s="37" t="str" cm="1">
        <f t="array" ref="AA1911">IFERROR(IF(INDEX(SubsidieTabel!$Q$1:$T$9,MATCH($F1911,SubsidieTabel!$Q$1:$Q$9,0),IFERROR(MATCH(Methode_Keuze,SubsidieTabel!$Q$1:$T$1,0),2))&lt;&gt;1=TRUE,"ja",""),"")</f>
        <v/>
      </c>
    </row>
    <row r="1912" spans="1:27" ht="15" customHeight="1" x14ac:dyDescent="0.25">
      <c r="A1912" s="85"/>
      <c r="B1912" s="217" t="str">
        <f>IF(A1912&lt;&gt;"",_xlfn.MAXIFS($B$1:B1911,$A$1:A1911,A1912)+1,"")</f>
        <v/>
      </c>
      <c r="C1912" s="50"/>
      <c r="D1912" s="50"/>
      <c r="E1912" s="50"/>
      <c r="F1912" s="50"/>
      <c r="G1912" s="280"/>
      <c r="H1912" s="293"/>
      <c r="I1912" s="292"/>
      <c r="J1912" s="292"/>
      <c r="K1912" s="200"/>
      <c r="L1912" s="200"/>
      <c r="M1912" s="89" t="str">
        <f>IFERROR(VLOOKUP(H1912,Lijsten!$H$1:$I$100,2,0),"")</f>
        <v/>
      </c>
      <c r="N1912" s="89" t="str" cm="1">
        <f t="array" ref="N1912">IFERROR(_xlfn.IFS(AND(LEFT(F1912,6)="Arbeid",RIGHT(F1912,3)&lt;&gt;"IKS"),IFERROR(VLOOKUP($G1912,Tb_KostenTypen[],2,0),"tarief"),RIGHT(F1912,3)="IKS","Uurtarief",LEFT(F1912,6)="Arbeid","Uurtarief",AND(LEFT(F1912,8)="Bijdrage",RIGHT(F1912,15)="(vrijwilligers)"),"Vast tarief"),"")</f>
        <v/>
      </c>
      <c r="O1912" s="90"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0"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1"/>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59"/>
      <c r="Z1912" s="49"/>
      <c r="AA1912" s="37" t="str" cm="1">
        <f t="array" ref="AA1912">IFERROR(IF(INDEX(SubsidieTabel!$Q$1:$T$9,MATCH($F1912,SubsidieTabel!$Q$1:$Q$9,0),IFERROR(MATCH(Methode_Keuze,SubsidieTabel!$Q$1:$T$1,0),2))&lt;&gt;1=TRUE,"ja",""),"")</f>
        <v/>
      </c>
    </row>
    <row r="1913" spans="1:27" ht="15" customHeight="1" x14ac:dyDescent="0.25">
      <c r="A1913" s="85"/>
      <c r="B1913" s="217" t="str">
        <f>IF(A1913&lt;&gt;"",_xlfn.MAXIFS($B$1:B1912,$A$1:A1912,A1913)+1,"")</f>
        <v/>
      </c>
      <c r="C1913" s="50"/>
      <c r="D1913" s="50"/>
      <c r="E1913" s="50"/>
      <c r="F1913" s="50"/>
      <c r="G1913" s="280"/>
      <c r="H1913" s="293"/>
      <c r="I1913" s="292"/>
      <c r="J1913" s="292"/>
      <c r="K1913" s="200"/>
      <c r="L1913" s="200"/>
      <c r="M1913" s="89" t="str">
        <f>IFERROR(VLOOKUP(H1913,Lijsten!$H$1:$I$100,2,0),"")</f>
        <v/>
      </c>
      <c r="N1913" s="89" t="str" cm="1">
        <f t="array" ref="N1913">IFERROR(_xlfn.IFS(AND(LEFT(F1913,6)="Arbeid",RIGHT(F1913,3)&lt;&gt;"IKS"),IFERROR(VLOOKUP($G1913,Tb_KostenTypen[],2,0),"tarief"),RIGHT(F1913,3)="IKS","Uurtarief",LEFT(F1913,6)="Arbeid","Uurtarief",AND(LEFT(F1913,8)="Bijdrage",RIGHT(F1913,15)="(vrijwilligers)"),"Vast tarief"),"")</f>
        <v/>
      </c>
      <c r="O1913" s="90"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0"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1"/>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59"/>
      <c r="Z1913" s="49"/>
      <c r="AA1913" s="37" t="str" cm="1">
        <f t="array" ref="AA1913">IFERROR(IF(INDEX(SubsidieTabel!$Q$1:$T$9,MATCH($F1913,SubsidieTabel!$Q$1:$Q$9,0),IFERROR(MATCH(Methode_Keuze,SubsidieTabel!$Q$1:$T$1,0),2))&lt;&gt;1=TRUE,"ja",""),"")</f>
        <v/>
      </c>
    </row>
    <row r="1914" spans="1:27" ht="15" customHeight="1" x14ac:dyDescent="0.25">
      <c r="A1914" s="85"/>
      <c r="B1914" s="217" t="str">
        <f>IF(A1914&lt;&gt;"",_xlfn.MAXIFS($B$1:B1913,$A$1:A1913,A1914)+1,"")</f>
        <v/>
      </c>
      <c r="C1914" s="50"/>
      <c r="D1914" s="50"/>
      <c r="E1914" s="50"/>
      <c r="F1914" s="50"/>
      <c r="G1914" s="280"/>
      <c r="H1914" s="293"/>
      <c r="I1914" s="292"/>
      <c r="J1914" s="292"/>
      <c r="K1914" s="200"/>
      <c r="L1914" s="200"/>
      <c r="M1914" s="89" t="str">
        <f>IFERROR(VLOOKUP(H1914,Lijsten!$H$1:$I$100,2,0),"")</f>
        <v/>
      </c>
      <c r="N1914" s="89" t="str" cm="1">
        <f t="array" ref="N1914">IFERROR(_xlfn.IFS(AND(LEFT(F1914,6)="Arbeid",RIGHT(F1914,3)&lt;&gt;"IKS"),IFERROR(VLOOKUP($G1914,Tb_KostenTypen[],2,0),"tarief"),RIGHT(F1914,3)="IKS","Uurtarief",LEFT(F1914,6)="Arbeid","Uurtarief",AND(LEFT(F1914,8)="Bijdrage",RIGHT(F1914,15)="(vrijwilligers)"),"Vast tarief"),"")</f>
        <v/>
      </c>
      <c r="O1914" s="90"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0"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1"/>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59"/>
      <c r="Z1914" s="49"/>
      <c r="AA1914" s="37" t="str" cm="1">
        <f t="array" ref="AA1914">IFERROR(IF(INDEX(SubsidieTabel!$Q$1:$T$9,MATCH($F1914,SubsidieTabel!$Q$1:$Q$9,0),IFERROR(MATCH(Methode_Keuze,SubsidieTabel!$Q$1:$T$1,0),2))&lt;&gt;1=TRUE,"ja",""),"")</f>
        <v/>
      </c>
    </row>
    <row r="1915" spans="1:27" ht="15" customHeight="1" x14ac:dyDescent="0.25">
      <c r="A1915" s="85"/>
      <c r="B1915" s="217" t="str">
        <f>IF(A1915&lt;&gt;"",_xlfn.MAXIFS($B$1:B1914,$A$1:A1914,A1915)+1,"")</f>
        <v/>
      </c>
      <c r="C1915" s="50"/>
      <c r="D1915" s="50"/>
      <c r="E1915" s="50"/>
      <c r="F1915" s="50"/>
      <c r="G1915" s="280"/>
      <c r="H1915" s="293"/>
      <c r="I1915" s="292"/>
      <c r="J1915" s="292"/>
      <c r="K1915" s="200"/>
      <c r="L1915" s="200"/>
      <c r="M1915" s="89" t="str">
        <f>IFERROR(VLOOKUP(H1915,Lijsten!$H$1:$I$100,2,0),"")</f>
        <v/>
      </c>
      <c r="N1915" s="89" t="str" cm="1">
        <f t="array" ref="N1915">IFERROR(_xlfn.IFS(AND(LEFT(F1915,6)="Arbeid",RIGHT(F1915,3)&lt;&gt;"IKS"),IFERROR(VLOOKUP($G1915,Tb_KostenTypen[],2,0),"tarief"),RIGHT(F1915,3)="IKS","Uurtarief",LEFT(F1915,6)="Arbeid","Uurtarief",AND(LEFT(F1915,8)="Bijdrage",RIGHT(F1915,15)="(vrijwilligers)"),"Vast tarief"),"")</f>
        <v/>
      </c>
      <c r="O1915" s="90"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0"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1"/>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59"/>
      <c r="Z1915" s="49"/>
      <c r="AA1915" s="37" t="str" cm="1">
        <f t="array" ref="AA1915">IFERROR(IF(INDEX(SubsidieTabel!$Q$1:$T$9,MATCH($F1915,SubsidieTabel!$Q$1:$Q$9,0),IFERROR(MATCH(Methode_Keuze,SubsidieTabel!$Q$1:$T$1,0),2))&lt;&gt;1=TRUE,"ja",""),"")</f>
        <v/>
      </c>
    </row>
    <row r="1916" spans="1:27" ht="15" customHeight="1" x14ac:dyDescent="0.25">
      <c r="A1916" s="85"/>
      <c r="B1916" s="217" t="str">
        <f>IF(A1916&lt;&gt;"",_xlfn.MAXIFS($B$1:B1915,$A$1:A1915,A1916)+1,"")</f>
        <v/>
      </c>
      <c r="C1916" s="50"/>
      <c r="D1916" s="50"/>
      <c r="E1916" s="50"/>
      <c r="F1916" s="50"/>
      <c r="G1916" s="280"/>
      <c r="H1916" s="293"/>
      <c r="I1916" s="292"/>
      <c r="J1916" s="292"/>
      <c r="K1916" s="200"/>
      <c r="L1916" s="200"/>
      <c r="M1916" s="89" t="str">
        <f>IFERROR(VLOOKUP(H1916,Lijsten!$H$1:$I$100,2,0),"")</f>
        <v/>
      </c>
      <c r="N1916" s="89" t="str" cm="1">
        <f t="array" ref="N1916">IFERROR(_xlfn.IFS(AND(LEFT(F1916,6)="Arbeid",RIGHT(F1916,3)&lt;&gt;"IKS"),IFERROR(VLOOKUP($G1916,Tb_KostenTypen[],2,0),"tarief"),RIGHT(F1916,3)="IKS","Uurtarief",LEFT(F1916,6)="Arbeid","Uurtarief",AND(LEFT(F1916,8)="Bijdrage",RIGHT(F1916,15)="(vrijwilligers)"),"Vast tarief"),"")</f>
        <v/>
      </c>
      <c r="O1916" s="90"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0"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1"/>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59"/>
      <c r="Z1916" s="49"/>
      <c r="AA1916" s="37" t="str" cm="1">
        <f t="array" ref="AA1916">IFERROR(IF(INDEX(SubsidieTabel!$Q$1:$T$9,MATCH($F1916,SubsidieTabel!$Q$1:$Q$9,0),IFERROR(MATCH(Methode_Keuze,SubsidieTabel!$Q$1:$T$1,0),2))&lt;&gt;1=TRUE,"ja",""),"")</f>
        <v/>
      </c>
    </row>
    <row r="1917" spans="1:27" ht="15" customHeight="1" x14ac:dyDescent="0.25">
      <c r="A1917" s="85"/>
      <c r="B1917" s="217" t="str">
        <f>IF(A1917&lt;&gt;"",_xlfn.MAXIFS($B$1:B1916,$A$1:A1916,A1917)+1,"")</f>
        <v/>
      </c>
      <c r="C1917" s="50"/>
      <c r="D1917" s="50"/>
      <c r="E1917" s="50"/>
      <c r="F1917" s="50"/>
      <c r="G1917" s="280"/>
      <c r="H1917" s="293"/>
      <c r="I1917" s="292"/>
      <c r="J1917" s="292"/>
      <c r="K1917" s="200"/>
      <c r="L1917" s="200"/>
      <c r="M1917" s="89" t="str">
        <f>IFERROR(VLOOKUP(H1917,Lijsten!$H$1:$I$100,2,0),"")</f>
        <v/>
      </c>
      <c r="N1917" s="89" t="str" cm="1">
        <f t="array" ref="N1917">IFERROR(_xlfn.IFS(AND(LEFT(F1917,6)="Arbeid",RIGHT(F1917,3)&lt;&gt;"IKS"),IFERROR(VLOOKUP($G1917,Tb_KostenTypen[],2,0),"tarief"),RIGHT(F1917,3)="IKS","Uurtarief",LEFT(F1917,6)="Arbeid","Uurtarief",AND(LEFT(F1917,8)="Bijdrage",RIGHT(F1917,15)="(vrijwilligers)"),"Vast tarief"),"")</f>
        <v/>
      </c>
      <c r="O1917" s="90"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0"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1"/>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59"/>
      <c r="Z1917" s="49"/>
      <c r="AA1917" s="37" t="str" cm="1">
        <f t="array" ref="AA1917">IFERROR(IF(INDEX(SubsidieTabel!$Q$1:$T$9,MATCH($F1917,SubsidieTabel!$Q$1:$Q$9,0),IFERROR(MATCH(Methode_Keuze,SubsidieTabel!$Q$1:$T$1,0),2))&lt;&gt;1=TRUE,"ja",""),"")</f>
        <v/>
      </c>
    </row>
    <row r="1918" spans="1:27" ht="15" customHeight="1" x14ac:dyDescent="0.25">
      <c r="A1918" s="85"/>
      <c r="B1918" s="217" t="str">
        <f>IF(A1918&lt;&gt;"",_xlfn.MAXIFS($B$1:B1917,$A$1:A1917,A1918)+1,"")</f>
        <v/>
      </c>
      <c r="C1918" s="50"/>
      <c r="D1918" s="50"/>
      <c r="E1918" s="50"/>
      <c r="F1918" s="50"/>
      <c r="G1918" s="280"/>
      <c r="H1918" s="293"/>
      <c r="I1918" s="292"/>
      <c r="J1918" s="292"/>
      <c r="K1918" s="200"/>
      <c r="L1918" s="200"/>
      <c r="M1918" s="89" t="str">
        <f>IFERROR(VLOOKUP(H1918,Lijsten!$H$1:$I$100,2,0),"")</f>
        <v/>
      </c>
      <c r="N1918" s="89" t="str" cm="1">
        <f t="array" ref="N1918">IFERROR(_xlfn.IFS(AND(LEFT(F1918,6)="Arbeid",RIGHT(F1918,3)&lt;&gt;"IKS"),IFERROR(VLOOKUP($G1918,Tb_KostenTypen[],2,0),"tarief"),RIGHT(F1918,3)="IKS","Uurtarief",LEFT(F1918,6)="Arbeid","Uurtarief",AND(LEFT(F1918,8)="Bijdrage",RIGHT(F1918,15)="(vrijwilligers)"),"Vast tarief"),"")</f>
        <v/>
      </c>
      <c r="O1918" s="90"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0"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1"/>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59"/>
      <c r="Z1918" s="49"/>
      <c r="AA1918" s="37" t="str" cm="1">
        <f t="array" ref="AA1918">IFERROR(IF(INDEX(SubsidieTabel!$Q$1:$T$9,MATCH($F1918,SubsidieTabel!$Q$1:$Q$9,0),IFERROR(MATCH(Methode_Keuze,SubsidieTabel!$Q$1:$T$1,0),2))&lt;&gt;1=TRUE,"ja",""),"")</f>
        <v/>
      </c>
    </row>
    <row r="1919" spans="1:27" ht="15" customHeight="1" x14ac:dyDescent="0.25">
      <c r="A1919" s="85"/>
      <c r="B1919" s="217" t="str">
        <f>IF(A1919&lt;&gt;"",_xlfn.MAXIFS($B$1:B1918,$A$1:A1918,A1919)+1,"")</f>
        <v/>
      </c>
      <c r="C1919" s="50"/>
      <c r="D1919" s="50"/>
      <c r="E1919" s="50"/>
      <c r="F1919" s="50"/>
      <c r="G1919" s="280"/>
      <c r="H1919" s="293"/>
      <c r="I1919" s="292"/>
      <c r="J1919" s="292"/>
      <c r="K1919" s="200"/>
      <c r="L1919" s="200"/>
      <c r="M1919" s="89" t="str">
        <f>IFERROR(VLOOKUP(H1919,Lijsten!$H$1:$I$100,2,0),"")</f>
        <v/>
      </c>
      <c r="N1919" s="89" t="str" cm="1">
        <f t="array" ref="N1919">IFERROR(_xlfn.IFS(AND(LEFT(F1919,6)="Arbeid",RIGHT(F1919,3)&lt;&gt;"IKS"),IFERROR(VLOOKUP($G1919,Tb_KostenTypen[],2,0),"tarief"),RIGHT(F1919,3)="IKS","Uurtarief",LEFT(F1919,6)="Arbeid","Uurtarief",AND(LEFT(F1919,8)="Bijdrage",RIGHT(F1919,15)="(vrijwilligers)"),"Vast tarief"),"")</f>
        <v/>
      </c>
      <c r="O1919" s="90"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0"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1"/>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59"/>
      <c r="Z1919" s="49"/>
      <c r="AA1919" s="37" t="str" cm="1">
        <f t="array" ref="AA1919">IFERROR(IF(INDEX(SubsidieTabel!$Q$1:$T$9,MATCH($F1919,SubsidieTabel!$Q$1:$Q$9,0),IFERROR(MATCH(Methode_Keuze,SubsidieTabel!$Q$1:$T$1,0),2))&lt;&gt;1=TRUE,"ja",""),"")</f>
        <v/>
      </c>
    </row>
    <row r="1920" spans="1:27" ht="15" customHeight="1" x14ac:dyDescent="0.25">
      <c r="A1920" s="85"/>
      <c r="B1920" s="217" t="str">
        <f>IF(A1920&lt;&gt;"",_xlfn.MAXIFS($B$1:B1919,$A$1:A1919,A1920)+1,"")</f>
        <v/>
      </c>
      <c r="C1920" s="50"/>
      <c r="D1920" s="50"/>
      <c r="E1920" s="50"/>
      <c r="F1920" s="50"/>
      <c r="G1920" s="280"/>
      <c r="H1920" s="293"/>
      <c r="I1920" s="292"/>
      <c r="J1920" s="292"/>
      <c r="K1920" s="200"/>
      <c r="L1920" s="200"/>
      <c r="M1920" s="89" t="str">
        <f>IFERROR(VLOOKUP(H1920,Lijsten!$H$1:$I$100,2,0),"")</f>
        <v/>
      </c>
      <c r="N1920" s="89" t="str" cm="1">
        <f t="array" ref="N1920">IFERROR(_xlfn.IFS(AND(LEFT(F1920,6)="Arbeid",RIGHT(F1920,3)&lt;&gt;"IKS"),IFERROR(VLOOKUP($G1920,Tb_KostenTypen[],2,0),"tarief"),RIGHT(F1920,3)="IKS","Uurtarief",LEFT(F1920,6)="Arbeid","Uurtarief",AND(LEFT(F1920,8)="Bijdrage",RIGHT(F1920,15)="(vrijwilligers)"),"Vast tarief"),"")</f>
        <v/>
      </c>
      <c r="O1920" s="90"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0"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1"/>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59"/>
      <c r="Z1920" s="49"/>
      <c r="AA1920" s="37" t="str" cm="1">
        <f t="array" ref="AA1920">IFERROR(IF(INDEX(SubsidieTabel!$Q$1:$T$9,MATCH($F1920,SubsidieTabel!$Q$1:$Q$9,0),IFERROR(MATCH(Methode_Keuze,SubsidieTabel!$Q$1:$T$1,0),2))&lt;&gt;1=TRUE,"ja",""),"")</f>
        <v/>
      </c>
    </row>
    <row r="1921" spans="1:27" ht="15" customHeight="1" x14ac:dyDescent="0.25">
      <c r="A1921" s="85"/>
      <c r="B1921" s="217" t="str">
        <f>IF(A1921&lt;&gt;"",_xlfn.MAXIFS($B$1:B1920,$A$1:A1920,A1921)+1,"")</f>
        <v/>
      </c>
      <c r="C1921" s="50"/>
      <c r="D1921" s="50"/>
      <c r="E1921" s="50"/>
      <c r="F1921" s="50"/>
      <c r="G1921" s="280"/>
      <c r="H1921" s="293"/>
      <c r="I1921" s="292"/>
      <c r="J1921" s="292"/>
      <c r="K1921" s="200"/>
      <c r="L1921" s="200"/>
      <c r="M1921" s="89" t="str">
        <f>IFERROR(VLOOKUP(H1921,Lijsten!$H$1:$I$100,2,0),"")</f>
        <v/>
      </c>
      <c r="N1921" s="89" t="str" cm="1">
        <f t="array" ref="N1921">IFERROR(_xlfn.IFS(AND(LEFT(F1921,6)="Arbeid",RIGHT(F1921,3)&lt;&gt;"IKS"),IFERROR(VLOOKUP($G1921,Tb_KostenTypen[],2,0),"tarief"),RIGHT(F1921,3)="IKS","Uurtarief",LEFT(F1921,6)="Arbeid","Uurtarief",AND(LEFT(F1921,8)="Bijdrage",RIGHT(F1921,15)="(vrijwilligers)"),"Vast tarief"),"")</f>
        <v/>
      </c>
      <c r="O1921" s="90"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0"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1"/>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59"/>
      <c r="Z1921" s="49"/>
      <c r="AA1921" s="37" t="str" cm="1">
        <f t="array" ref="AA1921">IFERROR(IF(INDEX(SubsidieTabel!$Q$1:$T$9,MATCH($F1921,SubsidieTabel!$Q$1:$Q$9,0),IFERROR(MATCH(Methode_Keuze,SubsidieTabel!$Q$1:$T$1,0),2))&lt;&gt;1=TRUE,"ja",""),"")</f>
        <v/>
      </c>
    </row>
    <row r="1922" spans="1:27" ht="15" customHeight="1" x14ac:dyDescent="0.25">
      <c r="A1922" s="85"/>
      <c r="B1922" s="217" t="str">
        <f>IF(A1922&lt;&gt;"",_xlfn.MAXIFS($B$1:B1921,$A$1:A1921,A1922)+1,"")</f>
        <v/>
      </c>
      <c r="C1922" s="50"/>
      <c r="D1922" s="50"/>
      <c r="E1922" s="50"/>
      <c r="F1922" s="50"/>
      <c r="G1922" s="280"/>
      <c r="H1922" s="293"/>
      <c r="I1922" s="292"/>
      <c r="J1922" s="292"/>
      <c r="K1922" s="200"/>
      <c r="L1922" s="200"/>
      <c r="M1922" s="89" t="str">
        <f>IFERROR(VLOOKUP(H1922,Lijsten!$H$1:$I$100,2,0),"")</f>
        <v/>
      </c>
      <c r="N1922" s="89" t="str" cm="1">
        <f t="array" ref="N1922">IFERROR(_xlfn.IFS(AND(LEFT(F1922,6)="Arbeid",RIGHT(F1922,3)&lt;&gt;"IKS"),IFERROR(VLOOKUP($G1922,Tb_KostenTypen[],2,0),"tarief"),RIGHT(F1922,3)="IKS","Uurtarief",LEFT(F1922,6)="Arbeid","Uurtarief",AND(LEFT(F1922,8)="Bijdrage",RIGHT(F1922,15)="(vrijwilligers)"),"Vast tarief"),"")</f>
        <v/>
      </c>
      <c r="O1922" s="90"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0"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1"/>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59"/>
      <c r="Z1922" s="49"/>
      <c r="AA1922" s="37" t="str" cm="1">
        <f t="array" ref="AA1922">IFERROR(IF(INDEX(SubsidieTabel!$Q$1:$T$9,MATCH($F1922,SubsidieTabel!$Q$1:$Q$9,0),IFERROR(MATCH(Methode_Keuze,SubsidieTabel!$Q$1:$T$1,0),2))&lt;&gt;1=TRUE,"ja",""),"")</f>
        <v/>
      </c>
    </row>
    <row r="1923" spans="1:27" ht="15" customHeight="1" x14ac:dyDescent="0.25">
      <c r="A1923" s="85"/>
      <c r="B1923" s="217" t="str">
        <f>IF(A1923&lt;&gt;"",_xlfn.MAXIFS($B$1:B1922,$A$1:A1922,A1923)+1,"")</f>
        <v/>
      </c>
      <c r="C1923" s="50"/>
      <c r="D1923" s="50"/>
      <c r="E1923" s="50"/>
      <c r="F1923" s="50"/>
      <c r="G1923" s="280"/>
      <c r="H1923" s="293"/>
      <c r="I1923" s="292"/>
      <c r="J1923" s="292"/>
      <c r="K1923" s="200"/>
      <c r="L1923" s="200"/>
      <c r="M1923" s="89" t="str">
        <f>IFERROR(VLOOKUP(H1923,Lijsten!$H$1:$I$100,2,0),"")</f>
        <v/>
      </c>
      <c r="N1923" s="89" t="str" cm="1">
        <f t="array" ref="N1923">IFERROR(_xlfn.IFS(AND(LEFT(F1923,6)="Arbeid",RIGHT(F1923,3)&lt;&gt;"IKS"),IFERROR(VLOOKUP($G1923,Tb_KostenTypen[],2,0),"tarief"),RIGHT(F1923,3)="IKS","Uurtarief",LEFT(F1923,6)="Arbeid","Uurtarief",AND(LEFT(F1923,8)="Bijdrage",RIGHT(F1923,15)="(vrijwilligers)"),"Vast tarief"),"")</f>
        <v/>
      </c>
      <c r="O1923" s="90"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0"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1"/>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59"/>
      <c r="Z1923" s="49"/>
      <c r="AA1923" s="37" t="str" cm="1">
        <f t="array" ref="AA1923">IFERROR(IF(INDEX(SubsidieTabel!$Q$1:$T$9,MATCH($F1923,SubsidieTabel!$Q$1:$Q$9,0),IFERROR(MATCH(Methode_Keuze,SubsidieTabel!$Q$1:$T$1,0),2))&lt;&gt;1=TRUE,"ja",""),"")</f>
        <v/>
      </c>
    </row>
    <row r="1924" spans="1:27" ht="15" customHeight="1" x14ac:dyDescent="0.25">
      <c r="A1924" s="85"/>
      <c r="B1924" s="217" t="str">
        <f>IF(A1924&lt;&gt;"",_xlfn.MAXIFS($B$1:B1923,$A$1:A1923,A1924)+1,"")</f>
        <v/>
      </c>
      <c r="C1924" s="50"/>
      <c r="D1924" s="50"/>
      <c r="E1924" s="50"/>
      <c r="F1924" s="50"/>
      <c r="G1924" s="280"/>
      <c r="H1924" s="293"/>
      <c r="I1924" s="292"/>
      <c r="J1924" s="292"/>
      <c r="K1924" s="200"/>
      <c r="L1924" s="200"/>
      <c r="M1924" s="89" t="str">
        <f>IFERROR(VLOOKUP(H1924,Lijsten!$H$1:$I$100,2,0),"")</f>
        <v/>
      </c>
      <c r="N1924" s="89" t="str" cm="1">
        <f t="array" ref="N1924">IFERROR(_xlfn.IFS(AND(LEFT(F1924,6)="Arbeid",RIGHT(F1924,3)&lt;&gt;"IKS"),IFERROR(VLOOKUP($G1924,Tb_KostenTypen[],2,0),"tarief"),RIGHT(F1924,3)="IKS","Uurtarief",LEFT(F1924,6)="Arbeid","Uurtarief",AND(LEFT(F1924,8)="Bijdrage",RIGHT(F1924,15)="(vrijwilligers)"),"Vast tarief"),"")</f>
        <v/>
      </c>
      <c r="O1924" s="90"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0"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1"/>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59"/>
      <c r="Z1924" s="49"/>
      <c r="AA1924" s="37" t="str" cm="1">
        <f t="array" ref="AA1924">IFERROR(IF(INDEX(SubsidieTabel!$Q$1:$T$9,MATCH($F1924,SubsidieTabel!$Q$1:$Q$9,0),IFERROR(MATCH(Methode_Keuze,SubsidieTabel!$Q$1:$T$1,0),2))&lt;&gt;1=TRUE,"ja",""),"")</f>
        <v/>
      </c>
    </row>
    <row r="1925" spans="1:27" ht="15" customHeight="1" x14ac:dyDescent="0.25">
      <c r="A1925" s="85"/>
      <c r="B1925" s="217" t="str">
        <f>IF(A1925&lt;&gt;"",_xlfn.MAXIFS($B$1:B1924,$A$1:A1924,A1925)+1,"")</f>
        <v/>
      </c>
      <c r="C1925" s="50"/>
      <c r="D1925" s="50"/>
      <c r="E1925" s="50"/>
      <c r="F1925" s="50"/>
      <c r="G1925" s="280"/>
      <c r="H1925" s="293"/>
      <c r="I1925" s="292"/>
      <c r="J1925" s="292"/>
      <c r="K1925" s="200"/>
      <c r="L1925" s="200"/>
      <c r="M1925" s="89" t="str">
        <f>IFERROR(VLOOKUP(H1925,Lijsten!$H$1:$I$100,2,0),"")</f>
        <v/>
      </c>
      <c r="N1925" s="89" t="str" cm="1">
        <f t="array" ref="N1925">IFERROR(_xlfn.IFS(AND(LEFT(F1925,6)="Arbeid",RIGHT(F1925,3)&lt;&gt;"IKS"),IFERROR(VLOOKUP($G1925,Tb_KostenTypen[],2,0),"tarief"),RIGHT(F1925,3)="IKS","Uurtarief",LEFT(F1925,6)="Arbeid","Uurtarief",AND(LEFT(F1925,8)="Bijdrage",RIGHT(F1925,15)="(vrijwilligers)"),"Vast tarief"),"")</f>
        <v/>
      </c>
      <c r="O1925" s="90"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0"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1"/>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59"/>
      <c r="Z1925" s="49"/>
      <c r="AA1925" s="37" t="str" cm="1">
        <f t="array" ref="AA1925">IFERROR(IF(INDEX(SubsidieTabel!$Q$1:$T$9,MATCH($F1925,SubsidieTabel!$Q$1:$Q$9,0),IFERROR(MATCH(Methode_Keuze,SubsidieTabel!$Q$1:$T$1,0),2))&lt;&gt;1=TRUE,"ja",""),"")</f>
        <v/>
      </c>
    </row>
    <row r="1926" spans="1:27" ht="15" customHeight="1" x14ac:dyDescent="0.25">
      <c r="A1926" s="85"/>
      <c r="B1926" s="217" t="str">
        <f>IF(A1926&lt;&gt;"",_xlfn.MAXIFS($B$1:B1925,$A$1:A1925,A1926)+1,"")</f>
        <v/>
      </c>
      <c r="C1926" s="50"/>
      <c r="D1926" s="50"/>
      <c r="E1926" s="50"/>
      <c r="F1926" s="50"/>
      <c r="G1926" s="280"/>
      <c r="H1926" s="293"/>
      <c r="I1926" s="292"/>
      <c r="J1926" s="292"/>
      <c r="K1926" s="200"/>
      <c r="L1926" s="200"/>
      <c r="M1926" s="89" t="str">
        <f>IFERROR(VLOOKUP(H1926,Lijsten!$H$1:$I$100,2,0),"")</f>
        <v/>
      </c>
      <c r="N1926" s="89" t="str" cm="1">
        <f t="array" ref="N1926">IFERROR(_xlfn.IFS(AND(LEFT(F1926,6)="Arbeid",RIGHT(F1926,3)&lt;&gt;"IKS"),IFERROR(VLOOKUP($G1926,Tb_KostenTypen[],2,0),"tarief"),RIGHT(F1926,3)="IKS","Uurtarief",LEFT(F1926,6)="Arbeid","Uurtarief",AND(LEFT(F1926,8)="Bijdrage",RIGHT(F1926,15)="(vrijwilligers)"),"Vast tarief"),"")</f>
        <v/>
      </c>
      <c r="O1926" s="90"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0"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1"/>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59"/>
      <c r="Z1926" s="49"/>
      <c r="AA1926" s="37" t="str" cm="1">
        <f t="array" ref="AA1926">IFERROR(IF(INDEX(SubsidieTabel!$Q$1:$T$9,MATCH($F1926,SubsidieTabel!$Q$1:$Q$9,0),IFERROR(MATCH(Methode_Keuze,SubsidieTabel!$Q$1:$T$1,0),2))&lt;&gt;1=TRUE,"ja",""),"")</f>
        <v/>
      </c>
    </row>
    <row r="1927" spans="1:27" ht="15" customHeight="1" x14ac:dyDescent="0.25">
      <c r="A1927" s="85"/>
      <c r="B1927" s="217" t="str">
        <f>IF(A1927&lt;&gt;"",_xlfn.MAXIFS($B$1:B1926,$A$1:A1926,A1927)+1,"")</f>
        <v/>
      </c>
      <c r="C1927" s="50"/>
      <c r="D1927" s="50"/>
      <c r="E1927" s="50"/>
      <c r="F1927" s="50"/>
      <c r="G1927" s="280"/>
      <c r="H1927" s="293"/>
      <c r="I1927" s="292"/>
      <c r="J1927" s="292"/>
      <c r="K1927" s="200"/>
      <c r="L1927" s="200"/>
      <c r="M1927" s="89" t="str">
        <f>IFERROR(VLOOKUP(H1927,Lijsten!$H$1:$I$100,2,0),"")</f>
        <v/>
      </c>
      <c r="N1927" s="89" t="str" cm="1">
        <f t="array" ref="N1927">IFERROR(_xlfn.IFS(AND(LEFT(F1927,6)="Arbeid",RIGHT(F1927,3)&lt;&gt;"IKS"),IFERROR(VLOOKUP($G1927,Tb_KostenTypen[],2,0),"tarief"),RIGHT(F1927,3)="IKS","Uurtarief",LEFT(F1927,6)="Arbeid","Uurtarief",AND(LEFT(F1927,8)="Bijdrage",RIGHT(F1927,15)="(vrijwilligers)"),"Vast tarief"),"")</f>
        <v/>
      </c>
      <c r="O1927" s="90"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0"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1"/>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59"/>
      <c r="Z1927" s="49"/>
      <c r="AA1927" s="37" t="str" cm="1">
        <f t="array" ref="AA1927">IFERROR(IF(INDEX(SubsidieTabel!$Q$1:$T$9,MATCH($F1927,SubsidieTabel!$Q$1:$Q$9,0),IFERROR(MATCH(Methode_Keuze,SubsidieTabel!$Q$1:$T$1,0),2))&lt;&gt;1=TRUE,"ja",""),"")</f>
        <v/>
      </c>
    </row>
    <row r="1928" spans="1:27" ht="15" customHeight="1" x14ac:dyDescent="0.25">
      <c r="A1928" s="85"/>
      <c r="B1928" s="217" t="str">
        <f>IF(A1928&lt;&gt;"",_xlfn.MAXIFS($B$1:B1927,$A$1:A1927,A1928)+1,"")</f>
        <v/>
      </c>
      <c r="C1928" s="50"/>
      <c r="D1928" s="50"/>
      <c r="E1928" s="50"/>
      <c r="F1928" s="50"/>
      <c r="G1928" s="280"/>
      <c r="H1928" s="293"/>
      <c r="I1928" s="292"/>
      <c r="J1928" s="292"/>
      <c r="K1928" s="200"/>
      <c r="L1928" s="200"/>
      <c r="M1928" s="89" t="str">
        <f>IFERROR(VLOOKUP(H1928,Lijsten!$H$1:$I$100,2,0),"")</f>
        <v/>
      </c>
      <c r="N1928" s="89" t="str" cm="1">
        <f t="array" ref="N1928">IFERROR(_xlfn.IFS(AND(LEFT(F1928,6)="Arbeid",RIGHT(F1928,3)&lt;&gt;"IKS"),IFERROR(VLOOKUP($G1928,Tb_KostenTypen[],2,0),"tarief"),RIGHT(F1928,3)="IKS","Uurtarief",LEFT(F1928,6)="Arbeid","Uurtarief",AND(LEFT(F1928,8)="Bijdrage",RIGHT(F1928,15)="(vrijwilligers)"),"Vast tarief"),"")</f>
        <v/>
      </c>
      <c r="O1928" s="90"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0"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1"/>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59"/>
      <c r="Z1928" s="49"/>
      <c r="AA1928" s="37" t="str" cm="1">
        <f t="array" ref="AA1928">IFERROR(IF(INDEX(SubsidieTabel!$Q$1:$T$9,MATCH($F1928,SubsidieTabel!$Q$1:$Q$9,0),IFERROR(MATCH(Methode_Keuze,SubsidieTabel!$Q$1:$T$1,0),2))&lt;&gt;1=TRUE,"ja",""),"")</f>
        <v/>
      </c>
    </row>
    <row r="1929" spans="1:27" ht="15" customHeight="1" x14ac:dyDescent="0.25">
      <c r="A1929" s="85"/>
      <c r="B1929" s="217" t="str">
        <f>IF(A1929&lt;&gt;"",_xlfn.MAXIFS($B$1:B1928,$A$1:A1928,A1929)+1,"")</f>
        <v/>
      </c>
      <c r="C1929" s="50"/>
      <c r="D1929" s="50"/>
      <c r="E1929" s="50"/>
      <c r="F1929" s="50"/>
      <c r="G1929" s="280"/>
      <c r="H1929" s="293"/>
      <c r="I1929" s="292"/>
      <c r="J1929" s="292"/>
      <c r="K1929" s="200"/>
      <c r="L1929" s="200"/>
      <c r="M1929" s="89" t="str">
        <f>IFERROR(VLOOKUP(H1929,Lijsten!$H$1:$I$100,2,0),"")</f>
        <v/>
      </c>
      <c r="N1929" s="89" t="str" cm="1">
        <f t="array" ref="N1929">IFERROR(_xlfn.IFS(AND(LEFT(F1929,6)="Arbeid",RIGHT(F1929,3)&lt;&gt;"IKS"),IFERROR(VLOOKUP($G1929,Tb_KostenTypen[],2,0),"tarief"),RIGHT(F1929,3)="IKS","Uurtarief",LEFT(F1929,6)="Arbeid","Uurtarief",AND(LEFT(F1929,8)="Bijdrage",RIGHT(F1929,15)="(vrijwilligers)"),"Vast tarief"),"")</f>
        <v/>
      </c>
      <c r="O1929" s="90"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0"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1"/>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59"/>
      <c r="Z1929" s="49"/>
      <c r="AA1929" s="37" t="str" cm="1">
        <f t="array" ref="AA1929">IFERROR(IF(INDEX(SubsidieTabel!$Q$1:$T$9,MATCH($F1929,SubsidieTabel!$Q$1:$Q$9,0),IFERROR(MATCH(Methode_Keuze,SubsidieTabel!$Q$1:$T$1,0),2))&lt;&gt;1=TRUE,"ja",""),"")</f>
        <v/>
      </c>
    </row>
    <row r="1930" spans="1:27" ht="15" customHeight="1" x14ac:dyDescent="0.25">
      <c r="A1930" s="85"/>
      <c r="B1930" s="217" t="str">
        <f>IF(A1930&lt;&gt;"",_xlfn.MAXIFS($B$1:B1929,$A$1:A1929,A1930)+1,"")</f>
        <v/>
      </c>
      <c r="C1930" s="50"/>
      <c r="D1930" s="50"/>
      <c r="E1930" s="50"/>
      <c r="F1930" s="50"/>
      <c r="G1930" s="280"/>
      <c r="H1930" s="293"/>
      <c r="I1930" s="292"/>
      <c r="J1930" s="292"/>
      <c r="K1930" s="200"/>
      <c r="L1930" s="200"/>
      <c r="M1930" s="89" t="str">
        <f>IFERROR(VLOOKUP(H1930,Lijsten!$H$1:$I$100,2,0),"")</f>
        <v/>
      </c>
      <c r="N1930" s="89" t="str" cm="1">
        <f t="array" ref="N1930">IFERROR(_xlfn.IFS(AND(LEFT(F1930,6)="Arbeid",RIGHT(F1930,3)&lt;&gt;"IKS"),IFERROR(VLOOKUP($G1930,Tb_KostenTypen[],2,0),"tarief"),RIGHT(F1930,3)="IKS","Uurtarief",LEFT(F1930,6)="Arbeid","Uurtarief",AND(LEFT(F1930,8)="Bijdrage",RIGHT(F1930,15)="(vrijwilligers)"),"Vast tarief"),"")</f>
        <v/>
      </c>
      <c r="O1930" s="90"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0"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1"/>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59"/>
      <c r="Z1930" s="49"/>
      <c r="AA1930" s="37" t="str" cm="1">
        <f t="array" ref="AA1930">IFERROR(IF(INDEX(SubsidieTabel!$Q$1:$T$9,MATCH($F1930,SubsidieTabel!$Q$1:$Q$9,0),IFERROR(MATCH(Methode_Keuze,SubsidieTabel!$Q$1:$T$1,0),2))&lt;&gt;1=TRUE,"ja",""),"")</f>
        <v/>
      </c>
    </row>
    <row r="1931" spans="1:27" ht="15" customHeight="1" x14ac:dyDescent="0.25">
      <c r="A1931" s="85"/>
      <c r="B1931" s="217" t="str">
        <f>IF(A1931&lt;&gt;"",_xlfn.MAXIFS($B$1:B1930,$A$1:A1930,A1931)+1,"")</f>
        <v/>
      </c>
      <c r="C1931" s="50"/>
      <c r="D1931" s="50"/>
      <c r="E1931" s="50"/>
      <c r="F1931" s="50"/>
      <c r="G1931" s="280"/>
      <c r="H1931" s="293"/>
      <c r="I1931" s="292"/>
      <c r="J1931" s="292"/>
      <c r="K1931" s="200"/>
      <c r="L1931" s="200"/>
      <c r="M1931" s="89" t="str">
        <f>IFERROR(VLOOKUP(H1931,Lijsten!$H$1:$I$100,2,0),"")</f>
        <v/>
      </c>
      <c r="N1931" s="89" t="str" cm="1">
        <f t="array" ref="N1931">IFERROR(_xlfn.IFS(AND(LEFT(F1931,6)="Arbeid",RIGHT(F1931,3)&lt;&gt;"IKS"),IFERROR(VLOOKUP($G1931,Tb_KostenTypen[],2,0),"tarief"),RIGHT(F1931,3)="IKS","Uurtarief",LEFT(F1931,6)="Arbeid","Uurtarief",AND(LEFT(F1931,8)="Bijdrage",RIGHT(F1931,15)="(vrijwilligers)"),"Vast tarief"),"")</f>
        <v/>
      </c>
      <c r="O1931" s="90"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0"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1"/>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59"/>
      <c r="Z1931" s="49"/>
      <c r="AA1931" s="37" t="str" cm="1">
        <f t="array" ref="AA1931">IFERROR(IF(INDEX(SubsidieTabel!$Q$1:$T$9,MATCH($F1931,SubsidieTabel!$Q$1:$Q$9,0),IFERROR(MATCH(Methode_Keuze,SubsidieTabel!$Q$1:$T$1,0),2))&lt;&gt;1=TRUE,"ja",""),"")</f>
        <v/>
      </c>
    </row>
    <row r="1932" spans="1:27" ht="15" customHeight="1" x14ac:dyDescent="0.25">
      <c r="A1932" s="85"/>
      <c r="B1932" s="217" t="str">
        <f>IF(A1932&lt;&gt;"",_xlfn.MAXIFS($B$1:B1931,$A$1:A1931,A1932)+1,"")</f>
        <v/>
      </c>
      <c r="C1932" s="50"/>
      <c r="D1932" s="50"/>
      <c r="E1932" s="50"/>
      <c r="F1932" s="50"/>
      <c r="G1932" s="280"/>
      <c r="H1932" s="293"/>
      <c r="I1932" s="292"/>
      <c r="J1932" s="292"/>
      <c r="K1932" s="200"/>
      <c r="L1932" s="200"/>
      <c r="M1932" s="89" t="str">
        <f>IFERROR(VLOOKUP(H1932,Lijsten!$H$1:$I$100,2,0),"")</f>
        <v/>
      </c>
      <c r="N1932" s="89" t="str" cm="1">
        <f t="array" ref="N1932">IFERROR(_xlfn.IFS(AND(LEFT(F1932,6)="Arbeid",RIGHT(F1932,3)&lt;&gt;"IKS"),IFERROR(VLOOKUP($G1932,Tb_KostenTypen[],2,0),"tarief"),RIGHT(F1932,3)="IKS","Uurtarief",LEFT(F1932,6)="Arbeid","Uurtarief",AND(LEFT(F1932,8)="Bijdrage",RIGHT(F1932,15)="(vrijwilligers)"),"Vast tarief"),"")</f>
        <v/>
      </c>
      <c r="O1932" s="90"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0"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1"/>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59"/>
      <c r="Z1932" s="49"/>
      <c r="AA1932" s="37" t="str" cm="1">
        <f t="array" ref="AA1932">IFERROR(IF(INDEX(SubsidieTabel!$Q$1:$T$9,MATCH($F1932,SubsidieTabel!$Q$1:$Q$9,0),IFERROR(MATCH(Methode_Keuze,SubsidieTabel!$Q$1:$T$1,0),2))&lt;&gt;1=TRUE,"ja",""),"")</f>
        <v/>
      </c>
    </row>
    <row r="1933" spans="1:27" ht="15" customHeight="1" x14ac:dyDescent="0.25">
      <c r="A1933" s="85"/>
      <c r="B1933" s="217" t="str">
        <f>IF(A1933&lt;&gt;"",_xlfn.MAXIFS($B$1:B1932,$A$1:A1932,A1933)+1,"")</f>
        <v/>
      </c>
      <c r="C1933" s="50"/>
      <c r="D1933" s="50"/>
      <c r="E1933" s="50"/>
      <c r="F1933" s="50"/>
      <c r="G1933" s="280"/>
      <c r="H1933" s="293"/>
      <c r="I1933" s="292"/>
      <c r="J1933" s="292"/>
      <c r="K1933" s="200"/>
      <c r="L1933" s="200"/>
      <c r="M1933" s="89" t="str">
        <f>IFERROR(VLOOKUP(H1933,Lijsten!$H$1:$I$100,2,0),"")</f>
        <v/>
      </c>
      <c r="N1933" s="89" t="str" cm="1">
        <f t="array" ref="N1933">IFERROR(_xlfn.IFS(AND(LEFT(F1933,6)="Arbeid",RIGHT(F1933,3)&lt;&gt;"IKS"),IFERROR(VLOOKUP($G1933,Tb_KostenTypen[],2,0),"tarief"),RIGHT(F1933,3)="IKS","Uurtarief",LEFT(F1933,6)="Arbeid","Uurtarief",AND(LEFT(F1933,8)="Bijdrage",RIGHT(F1933,15)="(vrijwilligers)"),"Vast tarief"),"")</f>
        <v/>
      </c>
      <c r="O1933" s="90"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0"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1"/>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59"/>
      <c r="Z1933" s="49"/>
      <c r="AA1933" s="37" t="str" cm="1">
        <f t="array" ref="AA1933">IFERROR(IF(INDEX(SubsidieTabel!$Q$1:$T$9,MATCH($F1933,SubsidieTabel!$Q$1:$Q$9,0),IFERROR(MATCH(Methode_Keuze,SubsidieTabel!$Q$1:$T$1,0),2))&lt;&gt;1=TRUE,"ja",""),"")</f>
        <v/>
      </c>
    </row>
    <row r="1934" spans="1:27" ht="15" customHeight="1" x14ac:dyDescent="0.25">
      <c r="A1934" s="85"/>
      <c r="B1934" s="217" t="str">
        <f>IF(A1934&lt;&gt;"",_xlfn.MAXIFS($B$1:B1933,$A$1:A1933,A1934)+1,"")</f>
        <v/>
      </c>
      <c r="C1934" s="50"/>
      <c r="D1934" s="50"/>
      <c r="E1934" s="50"/>
      <c r="F1934" s="50"/>
      <c r="G1934" s="280"/>
      <c r="H1934" s="293"/>
      <c r="I1934" s="292"/>
      <c r="J1934" s="292"/>
      <c r="K1934" s="200"/>
      <c r="L1934" s="200"/>
      <c r="M1934" s="89" t="str">
        <f>IFERROR(VLOOKUP(H1934,Lijsten!$H$1:$I$100,2,0),"")</f>
        <v/>
      </c>
      <c r="N1934" s="89" t="str" cm="1">
        <f t="array" ref="N1934">IFERROR(_xlfn.IFS(AND(LEFT(F1934,6)="Arbeid",RIGHT(F1934,3)&lt;&gt;"IKS"),IFERROR(VLOOKUP($G1934,Tb_KostenTypen[],2,0),"tarief"),RIGHT(F1934,3)="IKS","Uurtarief",LEFT(F1934,6)="Arbeid","Uurtarief",AND(LEFT(F1934,8)="Bijdrage",RIGHT(F1934,15)="(vrijwilligers)"),"Vast tarief"),"")</f>
        <v/>
      </c>
      <c r="O1934" s="90"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0"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1"/>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59"/>
      <c r="Z1934" s="49"/>
      <c r="AA1934" s="37" t="str" cm="1">
        <f t="array" ref="AA1934">IFERROR(IF(INDEX(SubsidieTabel!$Q$1:$T$9,MATCH($F1934,SubsidieTabel!$Q$1:$Q$9,0),IFERROR(MATCH(Methode_Keuze,SubsidieTabel!$Q$1:$T$1,0),2))&lt;&gt;1=TRUE,"ja",""),"")</f>
        <v/>
      </c>
    </row>
    <row r="1935" spans="1:27" ht="15" customHeight="1" x14ac:dyDescent="0.25">
      <c r="A1935" s="85"/>
      <c r="B1935" s="217" t="str">
        <f>IF(A1935&lt;&gt;"",_xlfn.MAXIFS($B$1:B1934,$A$1:A1934,A1935)+1,"")</f>
        <v/>
      </c>
      <c r="C1935" s="50"/>
      <c r="D1935" s="50"/>
      <c r="E1935" s="50"/>
      <c r="F1935" s="50"/>
      <c r="G1935" s="280"/>
      <c r="H1935" s="293"/>
      <c r="I1935" s="292"/>
      <c r="J1935" s="292"/>
      <c r="K1935" s="200"/>
      <c r="L1935" s="200"/>
      <c r="M1935" s="89" t="str">
        <f>IFERROR(VLOOKUP(H1935,Lijsten!$H$1:$I$100,2,0),"")</f>
        <v/>
      </c>
      <c r="N1935" s="89" t="str" cm="1">
        <f t="array" ref="N1935">IFERROR(_xlfn.IFS(AND(LEFT(F1935,6)="Arbeid",RIGHT(F1935,3)&lt;&gt;"IKS"),IFERROR(VLOOKUP($G1935,Tb_KostenTypen[],2,0),"tarief"),RIGHT(F1935,3)="IKS","Uurtarief",LEFT(F1935,6)="Arbeid","Uurtarief",AND(LEFT(F1935,8)="Bijdrage",RIGHT(F1935,15)="(vrijwilligers)"),"Vast tarief"),"")</f>
        <v/>
      </c>
      <c r="O1935" s="90"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0"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1"/>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59"/>
      <c r="Z1935" s="49"/>
      <c r="AA1935" s="37" t="str" cm="1">
        <f t="array" ref="AA1935">IFERROR(IF(INDEX(SubsidieTabel!$Q$1:$T$9,MATCH($F1935,SubsidieTabel!$Q$1:$Q$9,0),IFERROR(MATCH(Methode_Keuze,SubsidieTabel!$Q$1:$T$1,0),2))&lt;&gt;1=TRUE,"ja",""),"")</f>
        <v/>
      </c>
    </row>
    <row r="1936" spans="1:27" ht="15" customHeight="1" x14ac:dyDescent="0.25">
      <c r="A1936" s="85"/>
      <c r="B1936" s="217" t="str">
        <f>IF(A1936&lt;&gt;"",_xlfn.MAXIFS($B$1:B1935,$A$1:A1935,A1936)+1,"")</f>
        <v/>
      </c>
      <c r="C1936" s="50"/>
      <c r="D1936" s="50"/>
      <c r="E1936" s="50"/>
      <c r="F1936" s="50"/>
      <c r="G1936" s="280"/>
      <c r="H1936" s="293"/>
      <c r="I1936" s="292"/>
      <c r="J1936" s="292"/>
      <c r="K1936" s="200"/>
      <c r="L1936" s="200"/>
      <c r="M1936" s="89" t="str">
        <f>IFERROR(VLOOKUP(H1936,Lijsten!$H$1:$I$100,2,0),"")</f>
        <v/>
      </c>
      <c r="N1936" s="89" t="str" cm="1">
        <f t="array" ref="N1936">IFERROR(_xlfn.IFS(AND(LEFT(F1936,6)="Arbeid",RIGHT(F1936,3)&lt;&gt;"IKS"),IFERROR(VLOOKUP($G1936,Tb_KostenTypen[],2,0),"tarief"),RIGHT(F1936,3)="IKS","Uurtarief",LEFT(F1936,6)="Arbeid","Uurtarief",AND(LEFT(F1936,8)="Bijdrage",RIGHT(F1936,15)="(vrijwilligers)"),"Vast tarief"),"")</f>
        <v/>
      </c>
      <c r="O1936" s="90"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0"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1"/>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59"/>
      <c r="Z1936" s="49"/>
      <c r="AA1936" s="37" t="str" cm="1">
        <f t="array" ref="AA1936">IFERROR(IF(INDEX(SubsidieTabel!$Q$1:$T$9,MATCH($F1936,SubsidieTabel!$Q$1:$Q$9,0),IFERROR(MATCH(Methode_Keuze,SubsidieTabel!$Q$1:$T$1,0),2))&lt;&gt;1=TRUE,"ja",""),"")</f>
        <v/>
      </c>
    </row>
    <row r="1937" spans="1:27" ht="15" customHeight="1" x14ac:dyDescent="0.25">
      <c r="A1937" s="85"/>
      <c r="B1937" s="217" t="str">
        <f>IF(A1937&lt;&gt;"",_xlfn.MAXIFS($B$1:B1936,$A$1:A1936,A1937)+1,"")</f>
        <v/>
      </c>
      <c r="C1937" s="50"/>
      <c r="D1937" s="50"/>
      <c r="E1937" s="50"/>
      <c r="F1937" s="50"/>
      <c r="G1937" s="280"/>
      <c r="H1937" s="293"/>
      <c r="I1937" s="292"/>
      <c r="J1937" s="292"/>
      <c r="K1937" s="200"/>
      <c r="L1937" s="200"/>
      <c r="M1937" s="89" t="str">
        <f>IFERROR(VLOOKUP(H1937,Lijsten!$H$1:$I$100,2,0),"")</f>
        <v/>
      </c>
      <c r="N1937" s="89" t="str" cm="1">
        <f t="array" ref="N1937">IFERROR(_xlfn.IFS(AND(LEFT(F1937,6)="Arbeid",RIGHT(F1937,3)&lt;&gt;"IKS"),IFERROR(VLOOKUP($G1937,Tb_KostenTypen[],2,0),"tarief"),RIGHT(F1937,3)="IKS","Uurtarief",LEFT(F1937,6)="Arbeid","Uurtarief",AND(LEFT(F1937,8)="Bijdrage",RIGHT(F1937,15)="(vrijwilligers)"),"Vast tarief"),"")</f>
        <v/>
      </c>
      <c r="O1937" s="90"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0"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1"/>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59"/>
      <c r="Z1937" s="49"/>
      <c r="AA1937" s="37" t="str" cm="1">
        <f t="array" ref="AA1937">IFERROR(IF(INDEX(SubsidieTabel!$Q$1:$T$9,MATCH($F1937,SubsidieTabel!$Q$1:$Q$9,0),IFERROR(MATCH(Methode_Keuze,SubsidieTabel!$Q$1:$T$1,0),2))&lt;&gt;1=TRUE,"ja",""),"")</f>
        <v/>
      </c>
    </row>
    <row r="1938" spans="1:27" ht="15" customHeight="1" x14ac:dyDescent="0.25">
      <c r="A1938" s="85"/>
      <c r="B1938" s="217" t="str">
        <f>IF(A1938&lt;&gt;"",_xlfn.MAXIFS($B$1:B1937,$A$1:A1937,A1938)+1,"")</f>
        <v/>
      </c>
      <c r="C1938" s="50"/>
      <c r="D1938" s="50"/>
      <c r="E1938" s="50"/>
      <c r="F1938" s="50"/>
      <c r="G1938" s="280"/>
      <c r="H1938" s="293"/>
      <c r="I1938" s="292"/>
      <c r="J1938" s="292"/>
      <c r="K1938" s="200"/>
      <c r="L1938" s="200"/>
      <c r="M1938" s="89" t="str">
        <f>IFERROR(VLOOKUP(H1938,Lijsten!$H$1:$I$100,2,0),"")</f>
        <v/>
      </c>
      <c r="N1938" s="89" t="str" cm="1">
        <f t="array" ref="N1938">IFERROR(_xlfn.IFS(AND(LEFT(F1938,6)="Arbeid",RIGHT(F1938,3)&lt;&gt;"IKS"),IFERROR(VLOOKUP($G1938,Tb_KostenTypen[],2,0),"tarief"),RIGHT(F1938,3)="IKS","Uurtarief",LEFT(F1938,6)="Arbeid","Uurtarief",AND(LEFT(F1938,8)="Bijdrage",RIGHT(F1938,15)="(vrijwilligers)"),"Vast tarief"),"")</f>
        <v/>
      </c>
      <c r="O1938" s="90"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0"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1"/>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59"/>
      <c r="Z1938" s="49"/>
      <c r="AA1938" s="37" t="str" cm="1">
        <f t="array" ref="AA1938">IFERROR(IF(INDEX(SubsidieTabel!$Q$1:$T$9,MATCH($F1938,SubsidieTabel!$Q$1:$Q$9,0),IFERROR(MATCH(Methode_Keuze,SubsidieTabel!$Q$1:$T$1,0),2))&lt;&gt;1=TRUE,"ja",""),"")</f>
        <v/>
      </c>
    </row>
    <row r="1939" spans="1:27" ht="15" customHeight="1" x14ac:dyDescent="0.25">
      <c r="A1939" s="85"/>
      <c r="B1939" s="217" t="str">
        <f>IF(A1939&lt;&gt;"",_xlfn.MAXIFS($B$1:B1938,$A$1:A1938,A1939)+1,"")</f>
        <v/>
      </c>
      <c r="C1939" s="50"/>
      <c r="D1939" s="50"/>
      <c r="E1939" s="50"/>
      <c r="F1939" s="50"/>
      <c r="G1939" s="280"/>
      <c r="H1939" s="293"/>
      <c r="I1939" s="292"/>
      <c r="J1939" s="292"/>
      <c r="K1939" s="200"/>
      <c r="L1939" s="200"/>
      <c r="M1939" s="89" t="str">
        <f>IFERROR(VLOOKUP(H1939,Lijsten!$H$1:$I$100,2,0),"")</f>
        <v/>
      </c>
      <c r="N1939" s="89" t="str" cm="1">
        <f t="array" ref="N1939">IFERROR(_xlfn.IFS(AND(LEFT(F1939,6)="Arbeid",RIGHT(F1939,3)&lt;&gt;"IKS"),IFERROR(VLOOKUP($G1939,Tb_KostenTypen[],2,0),"tarief"),RIGHT(F1939,3)="IKS","Uurtarief",LEFT(F1939,6)="Arbeid","Uurtarief",AND(LEFT(F1939,8)="Bijdrage",RIGHT(F1939,15)="(vrijwilligers)"),"Vast tarief"),"")</f>
        <v/>
      </c>
      <c r="O1939" s="90"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0"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1"/>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59"/>
      <c r="Z1939" s="49"/>
      <c r="AA1939" s="37" t="str" cm="1">
        <f t="array" ref="AA1939">IFERROR(IF(INDEX(SubsidieTabel!$Q$1:$T$9,MATCH($F1939,SubsidieTabel!$Q$1:$Q$9,0),IFERROR(MATCH(Methode_Keuze,SubsidieTabel!$Q$1:$T$1,0),2))&lt;&gt;1=TRUE,"ja",""),"")</f>
        <v/>
      </c>
    </row>
    <row r="1940" spans="1:27" ht="15" customHeight="1" x14ac:dyDescent="0.25">
      <c r="A1940" s="85"/>
      <c r="B1940" s="217" t="str">
        <f>IF(A1940&lt;&gt;"",_xlfn.MAXIFS($B$1:B1939,$A$1:A1939,A1940)+1,"")</f>
        <v/>
      </c>
      <c r="C1940" s="50"/>
      <c r="D1940" s="50"/>
      <c r="E1940" s="50"/>
      <c r="F1940" s="50"/>
      <c r="G1940" s="280"/>
      <c r="H1940" s="293"/>
      <c r="I1940" s="292"/>
      <c r="J1940" s="292"/>
      <c r="K1940" s="200"/>
      <c r="L1940" s="200"/>
      <c r="M1940" s="89" t="str">
        <f>IFERROR(VLOOKUP(H1940,Lijsten!$H$1:$I$100,2,0),"")</f>
        <v/>
      </c>
      <c r="N1940" s="89" t="str" cm="1">
        <f t="array" ref="N1940">IFERROR(_xlfn.IFS(AND(LEFT(F1940,6)="Arbeid",RIGHT(F1940,3)&lt;&gt;"IKS"),IFERROR(VLOOKUP($G1940,Tb_KostenTypen[],2,0),"tarief"),RIGHT(F1940,3)="IKS","Uurtarief",LEFT(F1940,6)="Arbeid","Uurtarief",AND(LEFT(F1940,8)="Bijdrage",RIGHT(F1940,15)="(vrijwilligers)"),"Vast tarief"),"")</f>
        <v/>
      </c>
      <c r="O1940" s="90"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0"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1"/>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59"/>
      <c r="Z1940" s="49"/>
      <c r="AA1940" s="37" t="str" cm="1">
        <f t="array" ref="AA1940">IFERROR(IF(INDEX(SubsidieTabel!$Q$1:$T$9,MATCH($F1940,SubsidieTabel!$Q$1:$Q$9,0),IFERROR(MATCH(Methode_Keuze,SubsidieTabel!$Q$1:$T$1,0),2))&lt;&gt;1=TRUE,"ja",""),"")</f>
        <v/>
      </c>
    </row>
    <row r="1941" spans="1:27" ht="15" customHeight="1" x14ac:dyDescent="0.25">
      <c r="A1941" s="85"/>
      <c r="B1941" s="217" t="str">
        <f>IF(A1941&lt;&gt;"",_xlfn.MAXIFS($B$1:B1940,$A$1:A1940,A1941)+1,"")</f>
        <v/>
      </c>
      <c r="C1941" s="50"/>
      <c r="D1941" s="50"/>
      <c r="E1941" s="50"/>
      <c r="F1941" s="50"/>
      <c r="G1941" s="280"/>
      <c r="H1941" s="293"/>
      <c r="I1941" s="292"/>
      <c r="J1941" s="292"/>
      <c r="K1941" s="200"/>
      <c r="L1941" s="200"/>
      <c r="M1941" s="89" t="str">
        <f>IFERROR(VLOOKUP(H1941,Lijsten!$H$1:$I$100,2,0),"")</f>
        <v/>
      </c>
      <c r="N1941" s="89" t="str" cm="1">
        <f t="array" ref="N1941">IFERROR(_xlfn.IFS(AND(LEFT(F1941,6)="Arbeid",RIGHT(F1941,3)&lt;&gt;"IKS"),IFERROR(VLOOKUP($G1941,Tb_KostenTypen[],2,0),"tarief"),RIGHT(F1941,3)="IKS","Uurtarief",LEFT(F1941,6)="Arbeid","Uurtarief",AND(LEFT(F1941,8)="Bijdrage",RIGHT(F1941,15)="(vrijwilligers)"),"Vast tarief"),"")</f>
        <v/>
      </c>
      <c r="O1941" s="90"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0"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1"/>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59"/>
      <c r="Z1941" s="49"/>
      <c r="AA1941" s="37" t="str" cm="1">
        <f t="array" ref="AA1941">IFERROR(IF(INDEX(SubsidieTabel!$Q$1:$T$9,MATCH($F1941,SubsidieTabel!$Q$1:$Q$9,0),IFERROR(MATCH(Methode_Keuze,SubsidieTabel!$Q$1:$T$1,0),2))&lt;&gt;1=TRUE,"ja",""),"")</f>
        <v/>
      </c>
    </row>
    <row r="1942" spans="1:27" ht="15" customHeight="1" x14ac:dyDescent="0.25">
      <c r="A1942" s="85"/>
      <c r="B1942" s="217" t="str">
        <f>IF(A1942&lt;&gt;"",_xlfn.MAXIFS($B$1:B1941,$A$1:A1941,A1942)+1,"")</f>
        <v/>
      </c>
      <c r="C1942" s="50"/>
      <c r="D1942" s="50"/>
      <c r="E1942" s="50"/>
      <c r="F1942" s="50"/>
      <c r="G1942" s="280"/>
      <c r="H1942" s="293"/>
      <c r="I1942" s="292"/>
      <c r="J1942" s="292"/>
      <c r="K1942" s="200"/>
      <c r="L1942" s="200"/>
      <c r="M1942" s="89" t="str">
        <f>IFERROR(VLOOKUP(H1942,Lijsten!$H$1:$I$100,2,0),"")</f>
        <v/>
      </c>
      <c r="N1942" s="89" t="str" cm="1">
        <f t="array" ref="N1942">IFERROR(_xlfn.IFS(AND(LEFT(F1942,6)="Arbeid",RIGHT(F1942,3)&lt;&gt;"IKS"),IFERROR(VLOOKUP($G1942,Tb_KostenTypen[],2,0),"tarief"),RIGHT(F1942,3)="IKS","Uurtarief",LEFT(F1942,6)="Arbeid","Uurtarief",AND(LEFT(F1942,8)="Bijdrage",RIGHT(F1942,15)="(vrijwilligers)"),"Vast tarief"),"")</f>
        <v/>
      </c>
      <c r="O1942" s="90"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0"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1"/>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59"/>
      <c r="Z1942" s="49"/>
      <c r="AA1942" s="37" t="str" cm="1">
        <f t="array" ref="AA1942">IFERROR(IF(INDEX(SubsidieTabel!$Q$1:$T$9,MATCH($F1942,SubsidieTabel!$Q$1:$Q$9,0),IFERROR(MATCH(Methode_Keuze,SubsidieTabel!$Q$1:$T$1,0),2))&lt;&gt;1=TRUE,"ja",""),"")</f>
        <v/>
      </c>
    </row>
    <row r="1943" spans="1:27" ht="15" customHeight="1" x14ac:dyDescent="0.25">
      <c r="A1943" s="85"/>
      <c r="B1943" s="217" t="str">
        <f>IF(A1943&lt;&gt;"",_xlfn.MAXIFS($B$1:B1942,$A$1:A1942,A1943)+1,"")</f>
        <v/>
      </c>
      <c r="C1943" s="50"/>
      <c r="D1943" s="50"/>
      <c r="E1943" s="50"/>
      <c r="F1943" s="50"/>
      <c r="G1943" s="280"/>
      <c r="H1943" s="293"/>
      <c r="I1943" s="292"/>
      <c r="J1943" s="292"/>
      <c r="K1943" s="200"/>
      <c r="L1943" s="200"/>
      <c r="M1943" s="89" t="str">
        <f>IFERROR(VLOOKUP(H1943,Lijsten!$H$1:$I$100,2,0),"")</f>
        <v/>
      </c>
      <c r="N1943" s="89" t="str" cm="1">
        <f t="array" ref="N1943">IFERROR(_xlfn.IFS(AND(LEFT(F1943,6)="Arbeid",RIGHT(F1943,3)&lt;&gt;"IKS"),IFERROR(VLOOKUP($G1943,Tb_KostenTypen[],2,0),"tarief"),RIGHT(F1943,3)="IKS","Uurtarief",LEFT(F1943,6)="Arbeid","Uurtarief",AND(LEFT(F1943,8)="Bijdrage",RIGHT(F1943,15)="(vrijwilligers)"),"Vast tarief"),"")</f>
        <v/>
      </c>
      <c r="O1943" s="90"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0"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1"/>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59"/>
      <c r="Z1943" s="49"/>
      <c r="AA1943" s="37" t="str" cm="1">
        <f t="array" ref="AA1943">IFERROR(IF(INDEX(SubsidieTabel!$Q$1:$T$9,MATCH($F1943,SubsidieTabel!$Q$1:$Q$9,0),IFERROR(MATCH(Methode_Keuze,SubsidieTabel!$Q$1:$T$1,0),2))&lt;&gt;1=TRUE,"ja",""),"")</f>
        <v/>
      </c>
    </row>
    <row r="1944" spans="1:27" ht="15" customHeight="1" x14ac:dyDescent="0.25">
      <c r="A1944" s="85"/>
      <c r="B1944" s="217" t="str">
        <f>IF(A1944&lt;&gt;"",_xlfn.MAXIFS($B$1:B1943,$A$1:A1943,A1944)+1,"")</f>
        <v/>
      </c>
      <c r="C1944" s="50"/>
      <c r="D1944" s="50"/>
      <c r="E1944" s="50"/>
      <c r="F1944" s="50"/>
      <c r="G1944" s="280"/>
      <c r="H1944" s="293"/>
      <c r="I1944" s="292"/>
      <c r="J1944" s="292"/>
      <c r="K1944" s="200"/>
      <c r="L1944" s="200"/>
      <c r="M1944" s="89" t="str">
        <f>IFERROR(VLOOKUP(H1944,Lijsten!$H$1:$I$100,2,0),"")</f>
        <v/>
      </c>
      <c r="N1944" s="89" t="str" cm="1">
        <f t="array" ref="N1944">IFERROR(_xlfn.IFS(AND(LEFT(F1944,6)="Arbeid",RIGHT(F1944,3)&lt;&gt;"IKS"),IFERROR(VLOOKUP($G1944,Tb_KostenTypen[],2,0),"tarief"),RIGHT(F1944,3)="IKS","Uurtarief",LEFT(F1944,6)="Arbeid","Uurtarief",AND(LEFT(F1944,8)="Bijdrage",RIGHT(F1944,15)="(vrijwilligers)"),"Vast tarief"),"")</f>
        <v/>
      </c>
      <c r="O1944" s="90"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0"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1"/>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59"/>
      <c r="Z1944" s="49"/>
      <c r="AA1944" s="37" t="str" cm="1">
        <f t="array" ref="AA1944">IFERROR(IF(INDEX(SubsidieTabel!$Q$1:$T$9,MATCH($F1944,SubsidieTabel!$Q$1:$Q$9,0),IFERROR(MATCH(Methode_Keuze,SubsidieTabel!$Q$1:$T$1,0),2))&lt;&gt;1=TRUE,"ja",""),"")</f>
        <v/>
      </c>
    </row>
    <row r="1945" spans="1:27" ht="15" customHeight="1" x14ac:dyDescent="0.25">
      <c r="A1945" s="85"/>
      <c r="B1945" s="217" t="str">
        <f>IF(A1945&lt;&gt;"",_xlfn.MAXIFS($B$1:B1944,$A$1:A1944,A1945)+1,"")</f>
        <v/>
      </c>
      <c r="C1945" s="50"/>
      <c r="D1945" s="50"/>
      <c r="E1945" s="50"/>
      <c r="F1945" s="50"/>
      <c r="G1945" s="280"/>
      <c r="H1945" s="293"/>
      <c r="I1945" s="292"/>
      <c r="J1945" s="292"/>
      <c r="K1945" s="200"/>
      <c r="L1945" s="200"/>
      <c r="M1945" s="89" t="str">
        <f>IFERROR(VLOOKUP(H1945,Lijsten!$H$1:$I$100,2,0),"")</f>
        <v/>
      </c>
      <c r="N1945" s="89" t="str" cm="1">
        <f t="array" ref="N1945">IFERROR(_xlfn.IFS(AND(LEFT(F1945,6)="Arbeid",RIGHT(F1945,3)&lt;&gt;"IKS"),IFERROR(VLOOKUP($G1945,Tb_KostenTypen[],2,0),"tarief"),RIGHT(F1945,3)="IKS","Uurtarief",LEFT(F1945,6)="Arbeid","Uurtarief",AND(LEFT(F1945,8)="Bijdrage",RIGHT(F1945,15)="(vrijwilligers)"),"Vast tarief"),"")</f>
        <v/>
      </c>
      <c r="O1945" s="90"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0"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1"/>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59"/>
      <c r="Z1945" s="49"/>
      <c r="AA1945" s="37" t="str" cm="1">
        <f t="array" ref="AA1945">IFERROR(IF(INDEX(SubsidieTabel!$Q$1:$T$9,MATCH($F1945,SubsidieTabel!$Q$1:$Q$9,0),IFERROR(MATCH(Methode_Keuze,SubsidieTabel!$Q$1:$T$1,0),2))&lt;&gt;1=TRUE,"ja",""),"")</f>
        <v/>
      </c>
    </row>
    <row r="1946" spans="1:27" ht="15" customHeight="1" x14ac:dyDescent="0.25">
      <c r="A1946" s="85"/>
      <c r="B1946" s="217" t="str">
        <f>IF(A1946&lt;&gt;"",_xlfn.MAXIFS($B$1:B1945,$A$1:A1945,A1946)+1,"")</f>
        <v/>
      </c>
      <c r="C1946" s="50"/>
      <c r="D1946" s="50"/>
      <c r="E1946" s="50"/>
      <c r="F1946" s="50"/>
      <c r="G1946" s="280"/>
      <c r="H1946" s="293"/>
      <c r="I1946" s="292"/>
      <c r="J1946" s="292"/>
      <c r="K1946" s="200"/>
      <c r="L1946" s="200"/>
      <c r="M1946" s="89" t="str">
        <f>IFERROR(VLOOKUP(H1946,Lijsten!$H$1:$I$100,2,0),"")</f>
        <v/>
      </c>
      <c r="N1946" s="89" t="str" cm="1">
        <f t="array" ref="N1946">IFERROR(_xlfn.IFS(AND(LEFT(F1946,6)="Arbeid",RIGHT(F1946,3)&lt;&gt;"IKS"),IFERROR(VLOOKUP($G1946,Tb_KostenTypen[],2,0),"tarief"),RIGHT(F1946,3)="IKS","Uurtarief",LEFT(F1946,6)="Arbeid","Uurtarief",AND(LEFT(F1946,8)="Bijdrage",RIGHT(F1946,15)="(vrijwilligers)"),"Vast tarief"),"")</f>
        <v/>
      </c>
      <c r="O1946" s="90"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0"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1"/>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59"/>
      <c r="Z1946" s="49"/>
      <c r="AA1946" s="37" t="str" cm="1">
        <f t="array" ref="AA1946">IFERROR(IF(INDEX(SubsidieTabel!$Q$1:$T$9,MATCH($F1946,SubsidieTabel!$Q$1:$Q$9,0),IFERROR(MATCH(Methode_Keuze,SubsidieTabel!$Q$1:$T$1,0),2))&lt;&gt;1=TRUE,"ja",""),"")</f>
        <v/>
      </c>
    </row>
    <row r="1947" spans="1:27" ht="15" customHeight="1" x14ac:dyDescent="0.25">
      <c r="A1947" s="85"/>
      <c r="B1947" s="217" t="str">
        <f>IF(A1947&lt;&gt;"",_xlfn.MAXIFS($B$1:B1946,$A$1:A1946,A1947)+1,"")</f>
        <v/>
      </c>
      <c r="C1947" s="50"/>
      <c r="D1947" s="50"/>
      <c r="E1947" s="50"/>
      <c r="F1947" s="50"/>
      <c r="G1947" s="280"/>
      <c r="H1947" s="293"/>
      <c r="I1947" s="292"/>
      <c r="J1947" s="292"/>
      <c r="K1947" s="200"/>
      <c r="L1947" s="200"/>
      <c r="M1947" s="89" t="str">
        <f>IFERROR(VLOOKUP(H1947,Lijsten!$H$1:$I$100,2,0),"")</f>
        <v/>
      </c>
      <c r="N1947" s="89" t="str" cm="1">
        <f t="array" ref="N1947">IFERROR(_xlfn.IFS(AND(LEFT(F1947,6)="Arbeid",RIGHT(F1947,3)&lt;&gt;"IKS"),IFERROR(VLOOKUP($G1947,Tb_KostenTypen[],2,0),"tarief"),RIGHT(F1947,3)="IKS","Uurtarief",LEFT(F1947,6)="Arbeid","Uurtarief",AND(LEFT(F1947,8)="Bijdrage",RIGHT(F1947,15)="(vrijwilligers)"),"Vast tarief"),"")</f>
        <v/>
      </c>
      <c r="O1947" s="90"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0"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1"/>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59"/>
      <c r="Z1947" s="49"/>
      <c r="AA1947" s="37" t="str" cm="1">
        <f t="array" ref="AA1947">IFERROR(IF(INDEX(SubsidieTabel!$Q$1:$T$9,MATCH($F1947,SubsidieTabel!$Q$1:$Q$9,0),IFERROR(MATCH(Methode_Keuze,SubsidieTabel!$Q$1:$T$1,0),2))&lt;&gt;1=TRUE,"ja",""),"")</f>
        <v/>
      </c>
    </row>
    <row r="1948" spans="1:27" ht="15" customHeight="1" x14ac:dyDescent="0.25">
      <c r="A1948" s="85"/>
      <c r="B1948" s="217" t="str">
        <f>IF(A1948&lt;&gt;"",_xlfn.MAXIFS($B$1:B1947,$A$1:A1947,A1948)+1,"")</f>
        <v/>
      </c>
      <c r="C1948" s="50"/>
      <c r="D1948" s="50"/>
      <c r="E1948" s="50"/>
      <c r="F1948" s="50"/>
      <c r="G1948" s="280"/>
      <c r="H1948" s="293"/>
      <c r="I1948" s="292"/>
      <c r="J1948" s="292"/>
      <c r="K1948" s="200"/>
      <c r="L1948" s="200"/>
      <c r="M1948" s="89" t="str">
        <f>IFERROR(VLOOKUP(H1948,Lijsten!$H$1:$I$100,2,0),"")</f>
        <v/>
      </c>
      <c r="N1948" s="89" t="str" cm="1">
        <f t="array" ref="N1948">IFERROR(_xlfn.IFS(AND(LEFT(F1948,6)="Arbeid",RIGHT(F1948,3)&lt;&gt;"IKS"),IFERROR(VLOOKUP($G1948,Tb_KostenTypen[],2,0),"tarief"),RIGHT(F1948,3)="IKS","Uurtarief",LEFT(F1948,6)="Arbeid","Uurtarief",AND(LEFT(F1948,8)="Bijdrage",RIGHT(F1948,15)="(vrijwilligers)"),"Vast tarief"),"")</f>
        <v/>
      </c>
      <c r="O1948" s="90"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0"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1"/>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59"/>
      <c r="Z1948" s="49"/>
      <c r="AA1948" s="37" t="str" cm="1">
        <f t="array" ref="AA1948">IFERROR(IF(INDEX(SubsidieTabel!$Q$1:$T$9,MATCH($F1948,SubsidieTabel!$Q$1:$Q$9,0),IFERROR(MATCH(Methode_Keuze,SubsidieTabel!$Q$1:$T$1,0),2))&lt;&gt;1=TRUE,"ja",""),"")</f>
        <v/>
      </c>
    </row>
    <row r="1949" spans="1:27" ht="15" customHeight="1" x14ac:dyDescent="0.25">
      <c r="A1949" s="85"/>
      <c r="B1949" s="217" t="str">
        <f>IF(A1949&lt;&gt;"",_xlfn.MAXIFS($B$1:B1948,$A$1:A1948,A1949)+1,"")</f>
        <v/>
      </c>
      <c r="C1949" s="50"/>
      <c r="D1949" s="50"/>
      <c r="E1949" s="50"/>
      <c r="F1949" s="50"/>
      <c r="G1949" s="280"/>
      <c r="H1949" s="293"/>
      <c r="I1949" s="292"/>
      <c r="J1949" s="292"/>
      <c r="K1949" s="200"/>
      <c r="L1949" s="200"/>
      <c r="M1949" s="89" t="str">
        <f>IFERROR(VLOOKUP(H1949,Lijsten!$H$1:$I$100,2,0),"")</f>
        <v/>
      </c>
      <c r="N1949" s="89" t="str" cm="1">
        <f t="array" ref="N1949">IFERROR(_xlfn.IFS(AND(LEFT(F1949,6)="Arbeid",RIGHT(F1949,3)&lt;&gt;"IKS"),IFERROR(VLOOKUP($G1949,Tb_KostenTypen[],2,0),"tarief"),RIGHT(F1949,3)="IKS","Uurtarief",LEFT(F1949,6)="Arbeid","Uurtarief",AND(LEFT(F1949,8)="Bijdrage",RIGHT(F1949,15)="(vrijwilligers)"),"Vast tarief"),"")</f>
        <v/>
      </c>
      <c r="O1949" s="90"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0"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1"/>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59"/>
      <c r="Z1949" s="49"/>
      <c r="AA1949" s="37" t="str" cm="1">
        <f t="array" ref="AA1949">IFERROR(IF(INDEX(SubsidieTabel!$Q$1:$T$9,MATCH($F1949,SubsidieTabel!$Q$1:$Q$9,0),IFERROR(MATCH(Methode_Keuze,SubsidieTabel!$Q$1:$T$1,0),2))&lt;&gt;1=TRUE,"ja",""),"")</f>
        <v/>
      </c>
    </row>
    <row r="1950" spans="1:27" ht="15" customHeight="1" x14ac:dyDescent="0.25">
      <c r="A1950" s="85"/>
      <c r="B1950" s="217" t="str">
        <f>IF(A1950&lt;&gt;"",_xlfn.MAXIFS($B$1:B1949,$A$1:A1949,A1950)+1,"")</f>
        <v/>
      </c>
      <c r="C1950" s="50"/>
      <c r="D1950" s="50"/>
      <c r="E1950" s="50"/>
      <c r="F1950" s="50"/>
      <c r="G1950" s="280"/>
      <c r="H1950" s="293"/>
      <c r="I1950" s="292"/>
      <c r="J1950" s="292"/>
      <c r="K1950" s="200"/>
      <c r="L1950" s="200"/>
      <c r="M1950" s="89" t="str">
        <f>IFERROR(VLOOKUP(H1950,Lijsten!$H$1:$I$100,2,0),"")</f>
        <v/>
      </c>
      <c r="N1950" s="89" t="str" cm="1">
        <f t="array" ref="N1950">IFERROR(_xlfn.IFS(AND(LEFT(F1950,6)="Arbeid",RIGHT(F1950,3)&lt;&gt;"IKS"),IFERROR(VLOOKUP($G1950,Tb_KostenTypen[],2,0),"tarief"),RIGHT(F1950,3)="IKS","Uurtarief",LEFT(F1950,6)="Arbeid","Uurtarief",AND(LEFT(F1950,8)="Bijdrage",RIGHT(F1950,15)="(vrijwilligers)"),"Vast tarief"),"")</f>
        <v/>
      </c>
      <c r="O1950" s="90"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0"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1"/>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59"/>
      <c r="Z1950" s="49"/>
      <c r="AA1950" s="37" t="str" cm="1">
        <f t="array" ref="AA1950">IFERROR(IF(INDEX(SubsidieTabel!$Q$1:$T$9,MATCH($F1950,SubsidieTabel!$Q$1:$Q$9,0),IFERROR(MATCH(Methode_Keuze,SubsidieTabel!$Q$1:$T$1,0),2))&lt;&gt;1=TRUE,"ja",""),"")</f>
        <v/>
      </c>
    </row>
    <row r="1951" spans="1:27" ht="15" customHeight="1" x14ac:dyDescent="0.25">
      <c r="A1951" s="85"/>
      <c r="B1951" s="217" t="str">
        <f>IF(A1951&lt;&gt;"",_xlfn.MAXIFS($B$1:B1950,$A$1:A1950,A1951)+1,"")</f>
        <v/>
      </c>
      <c r="C1951" s="50"/>
      <c r="D1951" s="50"/>
      <c r="E1951" s="50"/>
      <c r="F1951" s="50"/>
      <c r="G1951" s="280"/>
      <c r="H1951" s="293"/>
      <c r="I1951" s="292"/>
      <c r="J1951" s="292"/>
      <c r="K1951" s="200"/>
      <c r="L1951" s="200"/>
      <c r="M1951" s="89" t="str">
        <f>IFERROR(VLOOKUP(H1951,Lijsten!$H$1:$I$100,2,0),"")</f>
        <v/>
      </c>
      <c r="N1951" s="89" t="str" cm="1">
        <f t="array" ref="N1951">IFERROR(_xlfn.IFS(AND(LEFT(F1951,6)="Arbeid",RIGHT(F1951,3)&lt;&gt;"IKS"),IFERROR(VLOOKUP($G1951,Tb_KostenTypen[],2,0),"tarief"),RIGHT(F1951,3)="IKS","Uurtarief",LEFT(F1951,6)="Arbeid","Uurtarief",AND(LEFT(F1951,8)="Bijdrage",RIGHT(F1951,15)="(vrijwilligers)"),"Vast tarief"),"")</f>
        <v/>
      </c>
      <c r="O1951" s="90"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0"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1"/>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59"/>
      <c r="Z1951" s="49"/>
      <c r="AA1951" s="37" t="str" cm="1">
        <f t="array" ref="AA1951">IFERROR(IF(INDEX(SubsidieTabel!$Q$1:$T$9,MATCH($F1951,SubsidieTabel!$Q$1:$Q$9,0),IFERROR(MATCH(Methode_Keuze,SubsidieTabel!$Q$1:$T$1,0),2))&lt;&gt;1=TRUE,"ja",""),"")</f>
        <v/>
      </c>
    </row>
    <row r="1952" spans="1:27" ht="15" customHeight="1" x14ac:dyDescent="0.25">
      <c r="A1952" s="85"/>
      <c r="B1952" s="217" t="str">
        <f>IF(A1952&lt;&gt;"",_xlfn.MAXIFS($B$1:B1951,$A$1:A1951,A1952)+1,"")</f>
        <v/>
      </c>
      <c r="C1952" s="50"/>
      <c r="D1952" s="50"/>
      <c r="E1952" s="50"/>
      <c r="F1952" s="50"/>
      <c r="G1952" s="280"/>
      <c r="H1952" s="293"/>
      <c r="I1952" s="292"/>
      <c r="J1952" s="292"/>
      <c r="K1952" s="200"/>
      <c r="L1952" s="200"/>
      <c r="M1952" s="89" t="str">
        <f>IFERROR(VLOOKUP(H1952,Lijsten!$H$1:$I$100,2,0),"")</f>
        <v/>
      </c>
      <c r="N1952" s="89" t="str" cm="1">
        <f t="array" ref="N1952">IFERROR(_xlfn.IFS(AND(LEFT(F1952,6)="Arbeid",RIGHT(F1952,3)&lt;&gt;"IKS"),IFERROR(VLOOKUP($G1952,Tb_KostenTypen[],2,0),"tarief"),RIGHT(F1952,3)="IKS","Uurtarief",LEFT(F1952,6)="Arbeid","Uurtarief",AND(LEFT(F1952,8)="Bijdrage",RIGHT(F1952,15)="(vrijwilligers)"),"Vast tarief"),"")</f>
        <v/>
      </c>
      <c r="O1952" s="90"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0"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1"/>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59"/>
      <c r="Z1952" s="49"/>
      <c r="AA1952" s="37" t="str" cm="1">
        <f t="array" ref="AA1952">IFERROR(IF(INDEX(SubsidieTabel!$Q$1:$T$9,MATCH($F1952,SubsidieTabel!$Q$1:$Q$9,0),IFERROR(MATCH(Methode_Keuze,SubsidieTabel!$Q$1:$T$1,0),2))&lt;&gt;1=TRUE,"ja",""),"")</f>
        <v/>
      </c>
    </row>
    <row r="1953" spans="1:27" ht="15" customHeight="1" x14ac:dyDescent="0.25">
      <c r="A1953" s="85"/>
      <c r="B1953" s="217" t="str">
        <f>IF(A1953&lt;&gt;"",_xlfn.MAXIFS($B$1:B1952,$A$1:A1952,A1953)+1,"")</f>
        <v/>
      </c>
      <c r="C1953" s="50"/>
      <c r="D1953" s="50"/>
      <c r="E1953" s="50"/>
      <c r="F1953" s="50"/>
      <c r="G1953" s="280"/>
      <c r="H1953" s="293"/>
      <c r="I1953" s="292"/>
      <c r="J1953" s="292"/>
      <c r="K1953" s="200"/>
      <c r="L1953" s="200"/>
      <c r="M1953" s="89" t="str">
        <f>IFERROR(VLOOKUP(H1953,Lijsten!$H$1:$I$100,2,0),"")</f>
        <v/>
      </c>
      <c r="N1953" s="89" t="str" cm="1">
        <f t="array" ref="N1953">IFERROR(_xlfn.IFS(AND(LEFT(F1953,6)="Arbeid",RIGHT(F1953,3)&lt;&gt;"IKS"),IFERROR(VLOOKUP($G1953,Tb_KostenTypen[],2,0),"tarief"),RIGHT(F1953,3)="IKS","Uurtarief",LEFT(F1953,6)="Arbeid","Uurtarief",AND(LEFT(F1953,8)="Bijdrage",RIGHT(F1953,15)="(vrijwilligers)"),"Vast tarief"),"")</f>
        <v/>
      </c>
      <c r="O1953" s="90"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0"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1"/>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59"/>
      <c r="Z1953" s="49"/>
      <c r="AA1953" s="37" t="str" cm="1">
        <f t="array" ref="AA1953">IFERROR(IF(INDEX(SubsidieTabel!$Q$1:$T$9,MATCH($F1953,SubsidieTabel!$Q$1:$Q$9,0),IFERROR(MATCH(Methode_Keuze,SubsidieTabel!$Q$1:$T$1,0),2))&lt;&gt;1=TRUE,"ja",""),"")</f>
        <v/>
      </c>
    </row>
    <row r="1954" spans="1:27" ht="15" customHeight="1" x14ac:dyDescent="0.25">
      <c r="A1954" s="85"/>
      <c r="B1954" s="217" t="str">
        <f>IF(A1954&lt;&gt;"",_xlfn.MAXIFS($B$1:B1953,$A$1:A1953,A1954)+1,"")</f>
        <v/>
      </c>
      <c r="C1954" s="50"/>
      <c r="D1954" s="50"/>
      <c r="E1954" s="50"/>
      <c r="F1954" s="50"/>
      <c r="G1954" s="280"/>
      <c r="H1954" s="293"/>
      <c r="I1954" s="292"/>
      <c r="J1954" s="292"/>
      <c r="K1954" s="200"/>
      <c r="L1954" s="200"/>
      <c r="M1954" s="89" t="str">
        <f>IFERROR(VLOOKUP(H1954,Lijsten!$H$1:$I$100,2,0),"")</f>
        <v/>
      </c>
      <c r="N1954" s="89" t="str" cm="1">
        <f t="array" ref="N1954">IFERROR(_xlfn.IFS(AND(LEFT(F1954,6)="Arbeid",RIGHT(F1954,3)&lt;&gt;"IKS"),IFERROR(VLOOKUP($G1954,Tb_KostenTypen[],2,0),"tarief"),RIGHT(F1954,3)="IKS","Uurtarief",LEFT(F1954,6)="Arbeid","Uurtarief",AND(LEFT(F1954,8)="Bijdrage",RIGHT(F1954,15)="(vrijwilligers)"),"Vast tarief"),"")</f>
        <v/>
      </c>
      <c r="O1954" s="90"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0"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1"/>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59"/>
      <c r="Z1954" s="49"/>
      <c r="AA1954" s="37" t="str" cm="1">
        <f t="array" ref="AA1954">IFERROR(IF(INDEX(SubsidieTabel!$Q$1:$T$9,MATCH($F1954,SubsidieTabel!$Q$1:$Q$9,0),IFERROR(MATCH(Methode_Keuze,SubsidieTabel!$Q$1:$T$1,0),2))&lt;&gt;1=TRUE,"ja",""),"")</f>
        <v/>
      </c>
    </row>
    <row r="1955" spans="1:27" ht="15" customHeight="1" x14ac:dyDescent="0.25">
      <c r="A1955" s="85"/>
      <c r="B1955" s="217" t="str">
        <f>IF(A1955&lt;&gt;"",_xlfn.MAXIFS($B$1:B1954,$A$1:A1954,A1955)+1,"")</f>
        <v/>
      </c>
      <c r="C1955" s="50"/>
      <c r="D1955" s="50"/>
      <c r="E1955" s="50"/>
      <c r="F1955" s="50"/>
      <c r="G1955" s="280"/>
      <c r="H1955" s="293"/>
      <c r="I1955" s="292"/>
      <c r="J1955" s="292"/>
      <c r="K1955" s="200"/>
      <c r="L1955" s="200"/>
      <c r="M1955" s="89" t="str">
        <f>IFERROR(VLOOKUP(H1955,Lijsten!$H$1:$I$100,2,0),"")</f>
        <v/>
      </c>
      <c r="N1955" s="89" t="str" cm="1">
        <f t="array" ref="N1955">IFERROR(_xlfn.IFS(AND(LEFT(F1955,6)="Arbeid",RIGHT(F1955,3)&lt;&gt;"IKS"),IFERROR(VLOOKUP($G1955,Tb_KostenTypen[],2,0),"tarief"),RIGHT(F1955,3)="IKS","Uurtarief",LEFT(F1955,6)="Arbeid","Uurtarief",AND(LEFT(F1955,8)="Bijdrage",RIGHT(F1955,15)="(vrijwilligers)"),"Vast tarief"),"")</f>
        <v/>
      </c>
      <c r="O1955" s="90"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0"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1"/>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59"/>
      <c r="Z1955" s="49"/>
      <c r="AA1955" s="37" t="str" cm="1">
        <f t="array" ref="AA1955">IFERROR(IF(INDEX(SubsidieTabel!$Q$1:$T$9,MATCH($F1955,SubsidieTabel!$Q$1:$Q$9,0),IFERROR(MATCH(Methode_Keuze,SubsidieTabel!$Q$1:$T$1,0),2))&lt;&gt;1=TRUE,"ja",""),"")</f>
        <v/>
      </c>
    </row>
    <row r="1956" spans="1:27" ht="15" customHeight="1" x14ac:dyDescent="0.25">
      <c r="A1956" s="85"/>
      <c r="B1956" s="217" t="str">
        <f>IF(A1956&lt;&gt;"",_xlfn.MAXIFS($B$1:B1955,$A$1:A1955,A1956)+1,"")</f>
        <v/>
      </c>
      <c r="C1956" s="50"/>
      <c r="D1956" s="50"/>
      <c r="E1956" s="50"/>
      <c r="F1956" s="50"/>
      <c r="G1956" s="280"/>
      <c r="H1956" s="293"/>
      <c r="I1956" s="292"/>
      <c r="J1956" s="292"/>
      <c r="K1956" s="200"/>
      <c r="L1956" s="200"/>
      <c r="M1956" s="89" t="str">
        <f>IFERROR(VLOOKUP(H1956,Lijsten!$H$1:$I$100,2,0),"")</f>
        <v/>
      </c>
      <c r="N1956" s="89" t="str" cm="1">
        <f t="array" ref="N1956">IFERROR(_xlfn.IFS(AND(LEFT(F1956,6)="Arbeid",RIGHT(F1956,3)&lt;&gt;"IKS"),IFERROR(VLOOKUP($G1956,Tb_KostenTypen[],2,0),"tarief"),RIGHT(F1956,3)="IKS","Uurtarief",LEFT(F1956,6)="Arbeid","Uurtarief",AND(LEFT(F1956,8)="Bijdrage",RIGHT(F1956,15)="(vrijwilligers)"),"Vast tarief"),"")</f>
        <v/>
      </c>
      <c r="O1956" s="90"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0"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1"/>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59"/>
      <c r="Z1956" s="49"/>
      <c r="AA1956" s="37" t="str" cm="1">
        <f t="array" ref="AA1956">IFERROR(IF(INDEX(SubsidieTabel!$Q$1:$T$9,MATCH($F1956,SubsidieTabel!$Q$1:$Q$9,0),IFERROR(MATCH(Methode_Keuze,SubsidieTabel!$Q$1:$T$1,0),2))&lt;&gt;1=TRUE,"ja",""),"")</f>
        <v/>
      </c>
    </row>
    <row r="1957" spans="1:27" ht="15" customHeight="1" x14ac:dyDescent="0.25">
      <c r="A1957" s="85"/>
      <c r="B1957" s="217" t="str">
        <f>IF(A1957&lt;&gt;"",_xlfn.MAXIFS($B$1:B1956,$A$1:A1956,A1957)+1,"")</f>
        <v/>
      </c>
      <c r="C1957" s="50"/>
      <c r="D1957" s="50"/>
      <c r="E1957" s="50"/>
      <c r="F1957" s="50"/>
      <c r="G1957" s="280"/>
      <c r="H1957" s="293"/>
      <c r="I1957" s="292"/>
      <c r="J1957" s="292"/>
      <c r="K1957" s="200"/>
      <c r="L1957" s="200"/>
      <c r="M1957" s="89" t="str">
        <f>IFERROR(VLOOKUP(H1957,Lijsten!$H$1:$I$100,2,0),"")</f>
        <v/>
      </c>
      <c r="N1957" s="89" t="str" cm="1">
        <f t="array" ref="N1957">IFERROR(_xlfn.IFS(AND(LEFT(F1957,6)="Arbeid",RIGHT(F1957,3)&lt;&gt;"IKS"),IFERROR(VLOOKUP($G1957,Tb_KostenTypen[],2,0),"tarief"),RIGHT(F1957,3)="IKS","Uurtarief",LEFT(F1957,6)="Arbeid","Uurtarief",AND(LEFT(F1957,8)="Bijdrage",RIGHT(F1957,15)="(vrijwilligers)"),"Vast tarief"),"")</f>
        <v/>
      </c>
      <c r="O1957" s="90"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0"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1"/>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59"/>
      <c r="Z1957" s="49"/>
      <c r="AA1957" s="37" t="str" cm="1">
        <f t="array" ref="AA1957">IFERROR(IF(INDEX(SubsidieTabel!$Q$1:$T$9,MATCH($F1957,SubsidieTabel!$Q$1:$Q$9,0),IFERROR(MATCH(Methode_Keuze,SubsidieTabel!$Q$1:$T$1,0),2))&lt;&gt;1=TRUE,"ja",""),"")</f>
        <v/>
      </c>
    </row>
    <row r="1958" spans="1:27" ht="15" customHeight="1" x14ac:dyDescent="0.25">
      <c r="A1958" s="85"/>
      <c r="B1958" s="217" t="str">
        <f>IF(A1958&lt;&gt;"",_xlfn.MAXIFS($B$1:B1957,$A$1:A1957,A1958)+1,"")</f>
        <v/>
      </c>
      <c r="C1958" s="50"/>
      <c r="D1958" s="50"/>
      <c r="E1958" s="50"/>
      <c r="F1958" s="50"/>
      <c r="G1958" s="280"/>
      <c r="H1958" s="293"/>
      <c r="I1958" s="292"/>
      <c r="J1958" s="292"/>
      <c r="K1958" s="200"/>
      <c r="L1958" s="200"/>
      <c r="M1958" s="89" t="str">
        <f>IFERROR(VLOOKUP(H1958,Lijsten!$H$1:$I$100,2,0),"")</f>
        <v/>
      </c>
      <c r="N1958" s="89" t="str" cm="1">
        <f t="array" ref="N1958">IFERROR(_xlfn.IFS(AND(LEFT(F1958,6)="Arbeid",RIGHT(F1958,3)&lt;&gt;"IKS"),IFERROR(VLOOKUP($G1958,Tb_KostenTypen[],2,0),"tarief"),RIGHT(F1958,3)="IKS","Uurtarief",LEFT(F1958,6)="Arbeid","Uurtarief",AND(LEFT(F1958,8)="Bijdrage",RIGHT(F1958,15)="(vrijwilligers)"),"Vast tarief"),"")</f>
        <v/>
      </c>
      <c r="O1958" s="90"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0"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1"/>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59"/>
      <c r="Z1958" s="49"/>
      <c r="AA1958" s="37" t="str" cm="1">
        <f t="array" ref="AA1958">IFERROR(IF(INDEX(SubsidieTabel!$Q$1:$T$9,MATCH($F1958,SubsidieTabel!$Q$1:$Q$9,0),IFERROR(MATCH(Methode_Keuze,SubsidieTabel!$Q$1:$T$1,0),2))&lt;&gt;1=TRUE,"ja",""),"")</f>
        <v/>
      </c>
    </row>
    <row r="1959" spans="1:27" ht="15" customHeight="1" x14ac:dyDescent="0.25">
      <c r="A1959" s="85"/>
      <c r="B1959" s="217" t="str">
        <f>IF(A1959&lt;&gt;"",_xlfn.MAXIFS($B$1:B1958,$A$1:A1958,A1959)+1,"")</f>
        <v/>
      </c>
      <c r="C1959" s="50"/>
      <c r="D1959" s="50"/>
      <c r="E1959" s="50"/>
      <c r="F1959" s="50"/>
      <c r="G1959" s="280"/>
      <c r="H1959" s="293"/>
      <c r="I1959" s="292"/>
      <c r="J1959" s="292"/>
      <c r="K1959" s="200"/>
      <c r="L1959" s="200"/>
      <c r="M1959" s="89" t="str">
        <f>IFERROR(VLOOKUP(H1959,Lijsten!$H$1:$I$100,2,0),"")</f>
        <v/>
      </c>
      <c r="N1959" s="89" t="str" cm="1">
        <f t="array" ref="N1959">IFERROR(_xlfn.IFS(AND(LEFT(F1959,6)="Arbeid",RIGHT(F1959,3)&lt;&gt;"IKS"),IFERROR(VLOOKUP($G1959,Tb_KostenTypen[],2,0),"tarief"),RIGHT(F1959,3)="IKS","Uurtarief",LEFT(F1959,6)="Arbeid","Uurtarief",AND(LEFT(F1959,8)="Bijdrage",RIGHT(F1959,15)="(vrijwilligers)"),"Vast tarief"),"")</f>
        <v/>
      </c>
      <c r="O1959" s="90"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0"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1"/>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59"/>
      <c r="Z1959" s="49"/>
      <c r="AA1959" s="37" t="str" cm="1">
        <f t="array" ref="AA1959">IFERROR(IF(INDEX(SubsidieTabel!$Q$1:$T$9,MATCH($F1959,SubsidieTabel!$Q$1:$Q$9,0),IFERROR(MATCH(Methode_Keuze,SubsidieTabel!$Q$1:$T$1,0),2))&lt;&gt;1=TRUE,"ja",""),"")</f>
        <v/>
      </c>
    </row>
    <row r="1960" spans="1:27" ht="15" customHeight="1" x14ac:dyDescent="0.25">
      <c r="A1960" s="85"/>
      <c r="B1960" s="217" t="str">
        <f>IF(A1960&lt;&gt;"",_xlfn.MAXIFS($B$1:B1959,$A$1:A1959,A1960)+1,"")</f>
        <v/>
      </c>
      <c r="C1960" s="50"/>
      <c r="D1960" s="50"/>
      <c r="E1960" s="50"/>
      <c r="F1960" s="50"/>
      <c r="G1960" s="280"/>
      <c r="H1960" s="293"/>
      <c r="I1960" s="292"/>
      <c r="J1960" s="292"/>
      <c r="K1960" s="200"/>
      <c r="L1960" s="200"/>
      <c r="M1960" s="89" t="str">
        <f>IFERROR(VLOOKUP(H1960,Lijsten!$H$1:$I$100,2,0),"")</f>
        <v/>
      </c>
      <c r="N1960" s="89" t="str" cm="1">
        <f t="array" ref="N1960">IFERROR(_xlfn.IFS(AND(LEFT(F1960,6)="Arbeid",RIGHT(F1960,3)&lt;&gt;"IKS"),IFERROR(VLOOKUP($G1960,Tb_KostenTypen[],2,0),"tarief"),RIGHT(F1960,3)="IKS","Uurtarief",LEFT(F1960,6)="Arbeid","Uurtarief",AND(LEFT(F1960,8)="Bijdrage",RIGHT(F1960,15)="(vrijwilligers)"),"Vast tarief"),"")</f>
        <v/>
      </c>
      <c r="O1960" s="90"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0"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1"/>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59"/>
      <c r="Z1960" s="49"/>
      <c r="AA1960" s="37" t="str" cm="1">
        <f t="array" ref="AA1960">IFERROR(IF(INDEX(SubsidieTabel!$Q$1:$T$9,MATCH($F1960,SubsidieTabel!$Q$1:$Q$9,0),IFERROR(MATCH(Methode_Keuze,SubsidieTabel!$Q$1:$T$1,0),2))&lt;&gt;1=TRUE,"ja",""),"")</f>
        <v/>
      </c>
    </row>
    <row r="1961" spans="1:27" ht="15" customHeight="1" x14ac:dyDescent="0.25">
      <c r="A1961" s="85"/>
      <c r="B1961" s="217" t="str">
        <f>IF(A1961&lt;&gt;"",_xlfn.MAXIFS($B$1:B1960,$A$1:A1960,A1961)+1,"")</f>
        <v/>
      </c>
      <c r="C1961" s="50"/>
      <c r="D1961" s="50"/>
      <c r="E1961" s="50"/>
      <c r="F1961" s="50"/>
      <c r="G1961" s="280"/>
      <c r="H1961" s="293"/>
      <c r="I1961" s="292"/>
      <c r="J1961" s="292"/>
      <c r="K1961" s="200"/>
      <c r="L1961" s="200"/>
      <c r="M1961" s="89" t="str">
        <f>IFERROR(VLOOKUP(H1961,Lijsten!$H$1:$I$100,2,0),"")</f>
        <v/>
      </c>
      <c r="N1961" s="89" t="str" cm="1">
        <f t="array" ref="N1961">IFERROR(_xlfn.IFS(AND(LEFT(F1961,6)="Arbeid",RIGHT(F1961,3)&lt;&gt;"IKS"),IFERROR(VLOOKUP($G1961,Tb_KostenTypen[],2,0),"tarief"),RIGHT(F1961,3)="IKS","Uurtarief",LEFT(F1961,6)="Arbeid","Uurtarief",AND(LEFT(F1961,8)="Bijdrage",RIGHT(F1961,15)="(vrijwilligers)"),"Vast tarief"),"")</f>
        <v/>
      </c>
      <c r="O1961" s="90"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0"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1"/>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59"/>
      <c r="Z1961" s="49"/>
      <c r="AA1961" s="37" t="str" cm="1">
        <f t="array" ref="AA1961">IFERROR(IF(INDEX(SubsidieTabel!$Q$1:$T$9,MATCH($F1961,SubsidieTabel!$Q$1:$Q$9,0),IFERROR(MATCH(Methode_Keuze,SubsidieTabel!$Q$1:$T$1,0),2))&lt;&gt;1=TRUE,"ja",""),"")</f>
        <v/>
      </c>
    </row>
    <row r="1962" spans="1:27" ht="15" customHeight="1" x14ac:dyDescent="0.25">
      <c r="A1962" s="85"/>
      <c r="B1962" s="217" t="str">
        <f>IF(A1962&lt;&gt;"",_xlfn.MAXIFS($B$1:B1961,$A$1:A1961,A1962)+1,"")</f>
        <v/>
      </c>
      <c r="C1962" s="50"/>
      <c r="D1962" s="50"/>
      <c r="E1962" s="50"/>
      <c r="F1962" s="50"/>
      <c r="G1962" s="280"/>
      <c r="H1962" s="293"/>
      <c r="I1962" s="292"/>
      <c r="J1962" s="292"/>
      <c r="K1962" s="200"/>
      <c r="L1962" s="200"/>
      <c r="M1962" s="89" t="str">
        <f>IFERROR(VLOOKUP(H1962,Lijsten!$H$1:$I$100,2,0),"")</f>
        <v/>
      </c>
      <c r="N1962" s="89" t="str" cm="1">
        <f t="array" ref="N1962">IFERROR(_xlfn.IFS(AND(LEFT(F1962,6)="Arbeid",RIGHT(F1962,3)&lt;&gt;"IKS"),IFERROR(VLOOKUP($G1962,Tb_KostenTypen[],2,0),"tarief"),RIGHT(F1962,3)="IKS","Uurtarief",LEFT(F1962,6)="Arbeid","Uurtarief",AND(LEFT(F1962,8)="Bijdrage",RIGHT(F1962,15)="(vrijwilligers)"),"Vast tarief"),"")</f>
        <v/>
      </c>
      <c r="O1962" s="90"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0"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1"/>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59"/>
      <c r="Z1962" s="49"/>
      <c r="AA1962" s="37" t="str" cm="1">
        <f t="array" ref="AA1962">IFERROR(IF(INDEX(SubsidieTabel!$Q$1:$T$9,MATCH($F1962,SubsidieTabel!$Q$1:$Q$9,0),IFERROR(MATCH(Methode_Keuze,SubsidieTabel!$Q$1:$T$1,0),2))&lt;&gt;1=TRUE,"ja",""),"")</f>
        <v/>
      </c>
    </row>
    <row r="1963" spans="1:27" ht="15" customHeight="1" x14ac:dyDescent="0.25">
      <c r="A1963" s="85"/>
      <c r="B1963" s="217" t="str">
        <f>IF(A1963&lt;&gt;"",_xlfn.MAXIFS($B$1:B1962,$A$1:A1962,A1963)+1,"")</f>
        <v/>
      </c>
      <c r="C1963" s="50"/>
      <c r="D1963" s="50"/>
      <c r="E1963" s="50"/>
      <c r="F1963" s="50"/>
      <c r="G1963" s="280"/>
      <c r="H1963" s="293"/>
      <c r="I1963" s="292"/>
      <c r="J1963" s="292"/>
      <c r="K1963" s="200"/>
      <c r="L1963" s="200"/>
      <c r="M1963" s="89" t="str">
        <f>IFERROR(VLOOKUP(H1963,Lijsten!$H$1:$I$100,2,0),"")</f>
        <v/>
      </c>
      <c r="N1963" s="89" t="str" cm="1">
        <f t="array" ref="N1963">IFERROR(_xlfn.IFS(AND(LEFT(F1963,6)="Arbeid",RIGHT(F1963,3)&lt;&gt;"IKS"),IFERROR(VLOOKUP($G1963,Tb_KostenTypen[],2,0),"tarief"),RIGHT(F1963,3)="IKS","Uurtarief",LEFT(F1963,6)="Arbeid","Uurtarief",AND(LEFT(F1963,8)="Bijdrage",RIGHT(F1963,15)="(vrijwilligers)"),"Vast tarief"),"")</f>
        <v/>
      </c>
      <c r="O1963" s="90"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0"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1"/>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59"/>
      <c r="Z1963" s="49"/>
      <c r="AA1963" s="37" t="str" cm="1">
        <f t="array" ref="AA1963">IFERROR(IF(INDEX(SubsidieTabel!$Q$1:$T$9,MATCH($F1963,SubsidieTabel!$Q$1:$Q$9,0),IFERROR(MATCH(Methode_Keuze,SubsidieTabel!$Q$1:$T$1,0),2))&lt;&gt;1=TRUE,"ja",""),"")</f>
        <v/>
      </c>
    </row>
    <row r="1964" spans="1:27" ht="15" customHeight="1" x14ac:dyDescent="0.25">
      <c r="A1964" s="85"/>
      <c r="B1964" s="217" t="str">
        <f>IF(A1964&lt;&gt;"",_xlfn.MAXIFS($B$1:B1963,$A$1:A1963,A1964)+1,"")</f>
        <v/>
      </c>
      <c r="C1964" s="50"/>
      <c r="D1964" s="50"/>
      <c r="E1964" s="50"/>
      <c r="F1964" s="50"/>
      <c r="G1964" s="280"/>
      <c r="H1964" s="293"/>
      <c r="I1964" s="292"/>
      <c r="J1964" s="292"/>
      <c r="K1964" s="200"/>
      <c r="L1964" s="200"/>
      <c r="M1964" s="89" t="str">
        <f>IFERROR(VLOOKUP(H1964,Lijsten!$H$1:$I$100,2,0),"")</f>
        <v/>
      </c>
      <c r="N1964" s="89" t="str" cm="1">
        <f t="array" ref="N1964">IFERROR(_xlfn.IFS(AND(LEFT(F1964,6)="Arbeid",RIGHT(F1964,3)&lt;&gt;"IKS"),IFERROR(VLOOKUP($G1964,Tb_KostenTypen[],2,0),"tarief"),RIGHT(F1964,3)="IKS","Uurtarief",LEFT(F1964,6)="Arbeid","Uurtarief",AND(LEFT(F1964,8)="Bijdrage",RIGHT(F1964,15)="(vrijwilligers)"),"Vast tarief"),"")</f>
        <v/>
      </c>
      <c r="O1964" s="90"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0"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1"/>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59"/>
      <c r="Z1964" s="49"/>
      <c r="AA1964" s="37" t="str" cm="1">
        <f t="array" ref="AA1964">IFERROR(IF(INDEX(SubsidieTabel!$Q$1:$T$9,MATCH($F1964,SubsidieTabel!$Q$1:$Q$9,0),IFERROR(MATCH(Methode_Keuze,SubsidieTabel!$Q$1:$T$1,0),2))&lt;&gt;1=TRUE,"ja",""),"")</f>
        <v/>
      </c>
    </row>
    <row r="1965" spans="1:27" ht="15" customHeight="1" x14ac:dyDescent="0.25">
      <c r="A1965" s="85"/>
      <c r="B1965" s="217" t="str">
        <f>IF(A1965&lt;&gt;"",_xlfn.MAXIFS($B$1:B1964,$A$1:A1964,A1965)+1,"")</f>
        <v/>
      </c>
      <c r="C1965" s="50"/>
      <c r="D1965" s="50"/>
      <c r="E1965" s="50"/>
      <c r="F1965" s="50"/>
      <c r="G1965" s="280"/>
      <c r="H1965" s="293"/>
      <c r="I1965" s="292"/>
      <c r="J1965" s="292"/>
      <c r="K1965" s="200"/>
      <c r="L1965" s="200"/>
      <c r="M1965" s="89" t="str">
        <f>IFERROR(VLOOKUP(H1965,Lijsten!$H$1:$I$100,2,0),"")</f>
        <v/>
      </c>
      <c r="N1965" s="89" t="str" cm="1">
        <f t="array" ref="N1965">IFERROR(_xlfn.IFS(AND(LEFT(F1965,6)="Arbeid",RIGHT(F1965,3)&lt;&gt;"IKS"),IFERROR(VLOOKUP($G1965,Tb_KostenTypen[],2,0),"tarief"),RIGHT(F1965,3)="IKS","Uurtarief",LEFT(F1965,6)="Arbeid","Uurtarief",AND(LEFT(F1965,8)="Bijdrage",RIGHT(F1965,15)="(vrijwilligers)"),"Vast tarief"),"")</f>
        <v/>
      </c>
      <c r="O1965" s="90"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0"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1"/>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59"/>
      <c r="Z1965" s="49"/>
      <c r="AA1965" s="37" t="str" cm="1">
        <f t="array" ref="AA1965">IFERROR(IF(INDEX(SubsidieTabel!$Q$1:$T$9,MATCH($F1965,SubsidieTabel!$Q$1:$Q$9,0),IFERROR(MATCH(Methode_Keuze,SubsidieTabel!$Q$1:$T$1,0),2))&lt;&gt;1=TRUE,"ja",""),"")</f>
        <v/>
      </c>
    </row>
    <row r="1966" spans="1:27" ht="15" customHeight="1" x14ac:dyDescent="0.25">
      <c r="A1966" s="85"/>
      <c r="B1966" s="217" t="str">
        <f>IF(A1966&lt;&gt;"",_xlfn.MAXIFS($B$1:B1965,$A$1:A1965,A1966)+1,"")</f>
        <v/>
      </c>
      <c r="C1966" s="50"/>
      <c r="D1966" s="50"/>
      <c r="E1966" s="50"/>
      <c r="F1966" s="50"/>
      <c r="G1966" s="280"/>
      <c r="H1966" s="293"/>
      <c r="I1966" s="292"/>
      <c r="J1966" s="292"/>
      <c r="K1966" s="200"/>
      <c r="L1966" s="200"/>
      <c r="M1966" s="89" t="str">
        <f>IFERROR(VLOOKUP(H1966,Lijsten!$H$1:$I$100,2,0),"")</f>
        <v/>
      </c>
      <c r="N1966" s="89" t="str" cm="1">
        <f t="array" ref="N1966">IFERROR(_xlfn.IFS(AND(LEFT(F1966,6)="Arbeid",RIGHT(F1966,3)&lt;&gt;"IKS"),IFERROR(VLOOKUP($G1966,Tb_KostenTypen[],2,0),"tarief"),RIGHT(F1966,3)="IKS","Uurtarief",LEFT(F1966,6)="Arbeid","Uurtarief",AND(LEFT(F1966,8)="Bijdrage",RIGHT(F1966,15)="(vrijwilligers)"),"Vast tarief"),"")</f>
        <v/>
      </c>
      <c r="O1966" s="90"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0"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1"/>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59"/>
      <c r="Z1966" s="49"/>
      <c r="AA1966" s="37" t="str" cm="1">
        <f t="array" ref="AA1966">IFERROR(IF(INDEX(SubsidieTabel!$Q$1:$T$9,MATCH($F1966,SubsidieTabel!$Q$1:$Q$9,0),IFERROR(MATCH(Methode_Keuze,SubsidieTabel!$Q$1:$T$1,0),2))&lt;&gt;1=TRUE,"ja",""),"")</f>
        <v/>
      </c>
    </row>
    <row r="1967" spans="1:27" ht="15" customHeight="1" x14ac:dyDescent="0.25">
      <c r="A1967" s="85"/>
      <c r="B1967" s="217" t="str">
        <f>IF(A1967&lt;&gt;"",_xlfn.MAXIFS($B$1:B1966,$A$1:A1966,A1967)+1,"")</f>
        <v/>
      </c>
      <c r="C1967" s="50"/>
      <c r="D1967" s="50"/>
      <c r="E1967" s="50"/>
      <c r="F1967" s="50"/>
      <c r="G1967" s="280"/>
      <c r="H1967" s="293"/>
      <c r="I1967" s="292"/>
      <c r="J1967" s="292"/>
      <c r="K1967" s="200"/>
      <c r="L1967" s="200"/>
      <c r="M1967" s="89" t="str">
        <f>IFERROR(VLOOKUP(H1967,Lijsten!$H$1:$I$100,2,0),"")</f>
        <v/>
      </c>
      <c r="N1967" s="89" t="str" cm="1">
        <f t="array" ref="N1967">IFERROR(_xlfn.IFS(AND(LEFT(F1967,6)="Arbeid",RIGHT(F1967,3)&lt;&gt;"IKS"),IFERROR(VLOOKUP($G1967,Tb_KostenTypen[],2,0),"tarief"),RIGHT(F1967,3)="IKS","Uurtarief",LEFT(F1967,6)="Arbeid","Uurtarief",AND(LEFT(F1967,8)="Bijdrage",RIGHT(F1967,15)="(vrijwilligers)"),"Vast tarief"),"")</f>
        <v/>
      </c>
      <c r="O1967" s="90"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0"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1"/>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59"/>
      <c r="Z1967" s="49"/>
      <c r="AA1967" s="37" t="str" cm="1">
        <f t="array" ref="AA1967">IFERROR(IF(INDEX(SubsidieTabel!$Q$1:$T$9,MATCH($F1967,SubsidieTabel!$Q$1:$Q$9,0),IFERROR(MATCH(Methode_Keuze,SubsidieTabel!$Q$1:$T$1,0),2))&lt;&gt;1=TRUE,"ja",""),"")</f>
        <v/>
      </c>
    </row>
    <row r="1968" spans="1:27" ht="15" customHeight="1" x14ac:dyDescent="0.25">
      <c r="A1968" s="85"/>
      <c r="B1968" s="217" t="str">
        <f>IF(A1968&lt;&gt;"",_xlfn.MAXIFS($B$1:B1967,$A$1:A1967,A1968)+1,"")</f>
        <v/>
      </c>
      <c r="C1968" s="50"/>
      <c r="D1968" s="50"/>
      <c r="E1968" s="50"/>
      <c r="F1968" s="50"/>
      <c r="G1968" s="280"/>
      <c r="H1968" s="293"/>
      <c r="I1968" s="292"/>
      <c r="J1968" s="292"/>
      <c r="K1968" s="200"/>
      <c r="L1968" s="200"/>
      <c r="M1968" s="89" t="str">
        <f>IFERROR(VLOOKUP(H1968,Lijsten!$H$1:$I$100,2,0),"")</f>
        <v/>
      </c>
      <c r="N1968" s="89" t="str" cm="1">
        <f t="array" ref="N1968">IFERROR(_xlfn.IFS(AND(LEFT(F1968,6)="Arbeid",RIGHT(F1968,3)&lt;&gt;"IKS"),IFERROR(VLOOKUP($G1968,Tb_KostenTypen[],2,0),"tarief"),RIGHT(F1968,3)="IKS","Uurtarief",LEFT(F1968,6)="Arbeid","Uurtarief",AND(LEFT(F1968,8)="Bijdrage",RIGHT(F1968,15)="(vrijwilligers)"),"Vast tarief"),"")</f>
        <v/>
      </c>
      <c r="O1968" s="90"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0"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1"/>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59"/>
      <c r="Z1968" s="49"/>
      <c r="AA1968" s="37" t="str" cm="1">
        <f t="array" ref="AA1968">IFERROR(IF(INDEX(SubsidieTabel!$Q$1:$T$9,MATCH($F1968,SubsidieTabel!$Q$1:$Q$9,0),IFERROR(MATCH(Methode_Keuze,SubsidieTabel!$Q$1:$T$1,0),2))&lt;&gt;1=TRUE,"ja",""),"")</f>
        <v/>
      </c>
    </row>
    <row r="1969" spans="1:27" ht="15" customHeight="1" x14ac:dyDescent="0.25">
      <c r="A1969" s="85"/>
      <c r="B1969" s="217" t="str">
        <f>IF(A1969&lt;&gt;"",_xlfn.MAXIFS($B$1:B1968,$A$1:A1968,A1969)+1,"")</f>
        <v/>
      </c>
      <c r="C1969" s="50"/>
      <c r="D1969" s="50"/>
      <c r="E1969" s="50"/>
      <c r="F1969" s="50"/>
      <c r="G1969" s="280"/>
      <c r="H1969" s="293"/>
      <c r="I1969" s="292"/>
      <c r="J1969" s="292"/>
      <c r="K1969" s="200"/>
      <c r="L1969" s="200"/>
      <c r="M1969" s="89" t="str">
        <f>IFERROR(VLOOKUP(H1969,Lijsten!$H$1:$I$100,2,0),"")</f>
        <v/>
      </c>
      <c r="N1969" s="89" t="str" cm="1">
        <f t="array" ref="N1969">IFERROR(_xlfn.IFS(AND(LEFT(F1969,6)="Arbeid",RIGHT(F1969,3)&lt;&gt;"IKS"),IFERROR(VLOOKUP($G1969,Tb_KostenTypen[],2,0),"tarief"),RIGHT(F1969,3)="IKS","Uurtarief",LEFT(F1969,6)="Arbeid","Uurtarief",AND(LEFT(F1969,8)="Bijdrage",RIGHT(F1969,15)="(vrijwilligers)"),"Vast tarief"),"")</f>
        <v/>
      </c>
      <c r="O1969" s="90"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0"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1"/>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59"/>
      <c r="Z1969" s="49"/>
      <c r="AA1969" s="37" t="str" cm="1">
        <f t="array" ref="AA1969">IFERROR(IF(INDEX(SubsidieTabel!$Q$1:$T$9,MATCH($F1969,SubsidieTabel!$Q$1:$Q$9,0),IFERROR(MATCH(Methode_Keuze,SubsidieTabel!$Q$1:$T$1,0),2))&lt;&gt;1=TRUE,"ja",""),"")</f>
        <v/>
      </c>
    </row>
    <row r="1970" spans="1:27" ht="15" customHeight="1" x14ac:dyDescent="0.25">
      <c r="A1970" s="85"/>
      <c r="B1970" s="217" t="str">
        <f>IF(A1970&lt;&gt;"",_xlfn.MAXIFS($B$1:B1969,$A$1:A1969,A1970)+1,"")</f>
        <v/>
      </c>
      <c r="C1970" s="50"/>
      <c r="D1970" s="50"/>
      <c r="E1970" s="50"/>
      <c r="F1970" s="50"/>
      <c r="G1970" s="280"/>
      <c r="H1970" s="293"/>
      <c r="I1970" s="292"/>
      <c r="J1970" s="292"/>
      <c r="K1970" s="200"/>
      <c r="L1970" s="200"/>
      <c r="M1970" s="89" t="str">
        <f>IFERROR(VLOOKUP(H1970,Lijsten!$H$1:$I$100,2,0),"")</f>
        <v/>
      </c>
      <c r="N1970" s="89" t="str" cm="1">
        <f t="array" ref="N1970">IFERROR(_xlfn.IFS(AND(LEFT(F1970,6)="Arbeid",RIGHT(F1970,3)&lt;&gt;"IKS"),IFERROR(VLOOKUP($G1970,Tb_KostenTypen[],2,0),"tarief"),RIGHT(F1970,3)="IKS","Uurtarief",LEFT(F1970,6)="Arbeid","Uurtarief",AND(LEFT(F1970,8)="Bijdrage",RIGHT(F1970,15)="(vrijwilligers)"),"Vast tarief"),"")</f>
        <v/>
      </c>
      <c r="O1970" s="90"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0"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1"/>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59"/>
      <c r="Z1970" s="49"/>
      <c r="AA1970" s="37" t="str" cm="1">
        <f t="array" ref="AA1970">IFERROR(IF(INDEX(SubsidieTabel!$Q$1:$T$9,MATCH($F1970,SubsidieTabel!$Q$1:$Q$9,0),IFERROR(MATCH(Methode_Keuze,SubsidieTabel!$Q$1:$T$1,0),2))&lt;&gt;1=TRUE,"ja",""),"")</f>
        <v/>
      </c>
    </row>
    <row r="1971" spans="1:27" ht="15" customHeight="1" x14ac:dyDescent="0.25">
      <c r="A1971" s="85"/>
      <c r="B1971" s="217" t="str">
        <f>IF(A1971&lt;&gt;"",_xlfn.MAXIFS($B$1:B1970,$A$1:A1970,A1971)+1,"")</f>
        <v/>
      </c>
      <c r="C1971" s="50"/>
      <c r="D1971" s="50"/>
      <c r="E1971" s="50"/>
      <c r="F1971" s="50"/>
      <c r="G1971" s="280"/>
      <c r="H1971" s="293"/>
      <c r="I1971" s="292"/>
      <c r="J1971" s="292"/>
      <c r="K1971" s="200"/>
      <c r="L1971" s="200"/>
      <c r="M1971" s="89" t="str">
        <f>IFERROR(VLOOKUP(H1971,Lijsten!$H$1:$I$100,2,0),"")</f>
        <v/>
      </c>
      <c r="N1971" s="89" t="str" cm="1">
        <f t="array" ref="N1971">IFERROR(_xlfn.IFS(AND(LEFT(F1971,6)="Arbeid",RIGHT(F1971,3)&lt;&gt;"IKS"),IFERROR(VLOOKUP($G1971,Tb_KostenTypen[],2,0),"tarief"),RIGHT(F1971,3)="IKS","Uurtarief",LEFT(F1971,6)="Arbeid","Uurtarief",AND(LEFT(F1971,8)="Bijdrage",RIGHT(F1971,15)="(vrijwilligers)"),"Vast tarief"),"")</f>
        <v/>
      </c>
      <c r="O1971" s="90"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0"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1"/>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59"/>
      <c r="Z1971" s="49"/>
      <c r="AA1971" s="37" t="str" cm="1">
        <f t="array" ref="AA1971">IFERROR(IF(INDEX(SubsidieTabel!$Q$1:$T$9,MATCH($F1971,SubsidieTabel!$Q$1:$Q$9,0),IFERROR(MATCH(Methode_Keuze,SubsidieTabel!$Q$1:$T$1,0),2))&lt;&gt;1=TRUE,"ja",""),"")</f>
        <v/>
      </c>
    </row>
    <row r="1972" spans="1:27" ht="15" customHeight="1" x14ac:dyDescent="0.25">
      <c r="A1972" s="85"/>
      <c r="B1972" s="217" t="str">
        <f>IF(A1972&lt;&gt;"",_xlfn.MAXIFS($B$1:B1971,$A$1:A1971,A1972)+1,"")</f>
        <v/>
      </c>
      <c r="C1972" s="50"/>
      <c r="D1972" s="50"/>
      <c r="E1972" s="50"/>
      <c r="F1972" s="50"/>
      <c r="G1972" s="280"/>
      <c r="H1972" s="293"/>
      <c r="I1972" s="292"/>
      <c r="J1972" s="292"/>
      <c r="K1972" s="200"/>
      <c r="L1972" s="200"/>
      <c r="M1972" s="89" t="str">
        <f>IFERROR(VLOOKUP(H1972,Lijsten!$H$1:$I$100,2,0),"")</f>
        <v/>
      </c>
      <c r="N1972" s="89" t="str" cm="1">
        <f t="array" ref="N1972">IFERROR(_xlfn.IFS(AND(LEFT(F1972,6)="Arbeid",RIGHT(F1972,3)&lt;&gt;"IKS"),IFERROR(VLOOKUP($G1972,Tb_KostenTypen[],2,0),"tarief"),RIGHT(F1972,3)="IKS","Uurtarief",LEFT(F1972,6)="Arbeid","Uurtarief",AND(LEFT(F1972,8)="Bijdrage",RIGHT(F1972,15)="(vrijwilligers)"),"Vast tarief"),"")</f>
        <v/>
      </c>
      <c r="O1972" s="90"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0"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1"/>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59"/>
      <c r="Z1972" s="49"/>
      <c r="AA1972" s="37" t="str" cm="1">
        <f t="array" ref="AA1972">IFERROR(IF(INDEX(SubsidieTabel!$Q$1:$T$9,MATCH($F1972,SubsidieTabel!$Q$1:$Q$9,0),IFERROR(MATCH(Methode_Keuze,SubsidieTabel!$Q$1:$T$1,0),2))&lt;&gt;1=TRUE,"ja",""),"")</f>
        <v/>
      </c>
    </row>
    <row r="1973" spans="1:27" ht="15" customHeight="1" x14ac:dyDescent="0.25">
      <c r="A1973" s="85"/>
      <c r="B1973" s="217" t="str">
        <f>IF(A1973&lt;&gt;"",_xlfn.MAXIFS($B$1:B1972,$A$1:A1972,A1973)+1,"")</f>
        <v/>
      </c>
      <c r="C1973" s="50"/>
      <c r="D1973" s="50"/>
      <c r="E1973" s="50"/>
      <c r="F1973" s="50"/>
      <c r="G1973" s="280"/>
      <c r="H1973" s="293"/>
      <c r="I1973" s="292"/>
      <c r="J1973" s="292"/>
      <c r="K1973" s="200"/>
      <c r="L1973" s="200"/>
      <c r="M1973" s="89" t="str">
        <f>IFERROR(VLOOKUP(H1973,Lijsten!$H$1:$I$100,2,0),"")</f>
        <v/>
      </c>
      <c r="N1973" s="89" t="str" cm="1">
        <f t="array" ref="N1973">IFERROR(_xlfn.IFS(AND(LEFT(F1973,6)="Arbeid",RIGHT(F1973,3)&lt;&gt;"IKS"),IFERROR(VLOOKUP($G1973,Tb_KostenTypen[],2,0),"tarief"),RIGHT(F1973,3)="IKS","Uurtarief",LEFT(F1973,6)="Arbeid","Uurtarief",AND(LEFT(F1973,8)="Bijdrage",RIGHT(F1973,15)="(vrijwilligers)"),"Vast tarief"),"")</f>
        <v/>
      </c>
      <c r="O1973" s="90"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0"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1"/>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59"/>
      <c r="Z1973" s="49"/>
      <c r="AA1973" s="37" t="str" cm="1">
        <f t="array" ref="AA1973">IFERROR(IF(INDEX(SubsidieTabel!$Q$1:$T$9,MATCH($F1973,SubsidieTabel!$Q$1:$Q$9,0),IFERROR(MATCH(Methode_Keuze,SubsidieTabel!$Q$1:$T$1,0),2))&lt;&gt;1=TRUE,"ja",""),"")</f>
        <v/>
      </c>
    </row>
    <row r="1974" spans="1:27" ht="15" customHeight="1" x14ac:dyDescent="0.25">
      <c r="A1974" s="85"/>
      <c r="B1974" s="217" t="str">
        <f>IF(A1974&lt;&gt;"",_xlfn.MAXIFS($B$1:B1973,$A$1:A1973,A1974)+1,"")</f>
        <v/>
      </c>
      <c r="C1974" s="50"/>
      <c r="D1974" s="50"/>
      <c r="E1974" s="50"/>
      <c r="F1974" s="50"/>
      <c r="G1974" s="280"/>
      <c r="H1974" s="293"/>
      <c r="I1974" s="292"/>
      <c r="J1974" s="292"/>
      <c r="K1974" s="200"/>
      <c r="L1974" s="200"/>
      <c r="M1974" s="89" t="str">
        <f>IFERROR(VLOOKUP(H1974,Lijsten!$H$1:$I$100,2,0),"")</f>
        <v/>
      </c>
      <c r="N1974" s="89" t="str" cm="1">
        <f t="array" ref="N1974">IFERROR(_xlfn.IFS(AND(LEFT(F1974,6)="Arbeid",RIGHT(F1974,3)&lt;&gt;"IKS"),IFERROR(VLOOKUP($G1974,Tb_KostenTypen[],2,0),"tarief"),RIGHT(F1974,3)="IKS","Uurtarief",LEFT(F1974,6)="Arbeid","Uurtarief",AND(LEFT(F1974,8)="Bijdrage",RIGHT(F1974,15)="(vrijwilligers)"),"Vast tarief"),"")</f>
        <v/>
      </c>
      <c r="O1974" s="90"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0"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1"/>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59"/>
      <c r="Z1974" s="49"/>
      <c r="AA1974" s="37" t="str" cm="1">
        <f t="array" ref="AA1974">IFERROR(IF(INDEX(SubsidieTabel!$Q$1:$T$9,MATCH($F1974,SubsidieTabel!$Q$1:$Q$9,0),IFERROR(MATCH(Methode_Keuze,SubsidieTabel!$Q$1:$T$1,0),2))&lt;&gt;1=TRUE,"ja",""),"")</f>
        <v/>
      </c>
    </row>
    <row r="1975" spans="1:27" ht="15" customHeight="1" x14ac:dyDescent="0.25">
      <c r="A1975" s="85"/>
      <c r="B1975" s="217" t="str">
        <f>IF(A1975&lt;&gt;"",_xlfn.MAXIFS($B$1:B1974,$A$1:A1974,A1975)+1,"")</f>
        <v/>
      </c>
      <c r="C1975" s="50"/>
      <c r="D1975" s="50"/>
      <c r="E1975" s="50"/>
      <c r="F1975" s="50"/>
      <c r="G1975" s="280"/>
      <c r="H1975" s="293"/>
      <c r="I1975" s="292"/>
      <c r="J1975" s="292"/>
      <c r="K1975" s="200"/>
      <c r="L1975" s="200"/>
      <c r="M1975" s="89" t="str">
        <f>IFERROR(VLOOKUP(H1975,Lijsten!$H$1:$I$100,2,0),"")</f>
        <v/>
      </c>
      <c r="N1975" s="89" t="str" cm="1">
        <f t="array" ref="N1975">IFERROR(_xlfn.IFS(AND(LEFT(F1975,6)="Arbeid",RIGHT(F1975,3)&lt;&gt;"IKS"),IFERROR(VLOOKUP($G1975,Tb_KostenTypen[],2,0),"tarief"),RIGHT(F1975,3)="IKS","Uurtarief",LEFT(F1975,6)="Arbeid","Uurtarief",AND(LEFT(F1975,8)="Bijdrage",RIGHT(F1975,15)="(vrijwilligers)"),"Vast tarief"),"")</f>
        <v/>
      </c>
      <c r="O1975" s="90"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0"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1"/>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59"/>
      <c r="Z1975" s="49"/>
      <c r="AA1975" s="37" t="str" cm="1">
        <f t="array" ref="AA1975">IFERROR(IF(INDEX(SubsidieTabel!$Q$1:$T$9,MATCH($F1975,SubsidieTabel!$Q$1:$Q$9,0),IFERROR(MATCH(Methode_Keuze,SubsidieTabel!$Q$1:$T$1,0),2))&lt;&gt;1=TRUE,"ja",""),"")</f>
        <v/>
      </c>
    </row>
    <row r="1976" spans="1:27" ht="15" customHeight="1" x14ac:dyDescent="0.25">
      <c r="A1976" s="85"/>
      <c r="B1976" s="217" t="str">
        <f>IF(A1976&lt;&gt;"",_xlfn.MAXIFS($B$1:B1975,$A$1:A1975,A1976)+1,"")</f>
        <v/>
      </c>
      <c r="C1976" s="50"/>
      <c r="D1976" s="50"/>
      <c r="E1976" s="50"/>
      <c r="F1976" s="50"/>
      <c r="G1976" s="280"/>
      <c r="H1976" s="293"/>
      <c r="I1976" s="292"/>
      <c r="J1976" s="292"/>
      <c r="K1976" s="200"/>
      <c r="L1976" s="200"/>
      <c r="M1976" s="89" t="str">
        <f>IFERROR(VLOOKUP(H1976,Lijsten!$H$1:$I$100,2,0),"")</f>
        <v/>
      </c>
      <c r="N1976" s="89" t="str" cm="1">
        <f t="array" ref="N1976">IFERROR(_xlfn.IFS(AND(LEFT(F1976,6)="Arbeid",RIGHT(F1976,3)&lt;&gt;"IKS"),IFERROR(VLOOKUP($G1976,Tb_KostenTypen[],2,0),"tarief"),RIGHT(F1976,3)="IKS","Uurtarief",LEFT(F1976,6)="Arbeid","Uurtarief",AND(LEFT(F1976,8)="Bijdrage",RIGHT(F1976,15)="(vrijwilligers)"),"Vast tarief"),"")</f>
        <v/>
      </c>
      <c r="O1976" s="90"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0"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1"/>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59"/>
      <c r="Z1976" s="49"/>
      <c r="AA1976" s="37" t="str" cm="1">
        <f t="array" ref="AA1976">IFERROR(IF(INDEX(SubsidieTabel!$Q$1:$T$9,MATCH($F1976,SubsidieTabel!$Q$1:$Q$9,0),IFERROR(MATCH(Methode_Keuze,SubsidieTabel!$Q$1:$T$1,0),2))&lt;&gt;1=TRUE,"ja",""),"")</f>
        <v/>
      </c>
    </row>
    <row r="1977" spans="1:27" ht="15" customHeight="1" x14ac:dyDescent="0.25">
      <c r="A1977" s="85"/>
      <c r="B1977" s="217" t="str">
        <f>IF(A1977&lt;&gt;"",_xlfn.MAXIFS($B$1:B1976,$A$1:A1976,A1977)+1,"")</f>
        <v/>
      </c>
      <c r="C1977" s="50"/>
      <c r="D1977" s="50"/>
      <c r="E1977" s="50"/>
      <c r="F1977" s="50"/>
      <c r="G1977" s="280"/>
      <c r="H1977" s="293"/>
      <c r="I1977" s="292"/>
      <c r="J1977" s="292"/>
      <c r="K1977" s="200"/>
      <c r="L1977" s="200"/>
      <c r="M1977" s="89" t="str">
        <f>IFERROR(VLOOKUP(H1977,Lijsten!$H$1:$I$100,2,0),"")</f>
        <v/>
      </c>
      <c r="N1977" s="89" t="str" cm="1">
        <f t="array" ref="N1977">IFERROR(_xlfn.IFS(AND(LEFT(F1977,6)="Arbeid",RIGHT(F1977,3)&lt;&gt;"IKS"),IFERROR(VLOOKUP($G1977,Tb_KostenTypen[],2,0),"tarief"),RIGHT(F1977,3)="IKS","Uurtarief",LEFT(F1977,6)="Arbeid","Uurtarief",AND(LEFT(F1977,8)="Bijdrage",RIGHT(F1977,15)="(vrijwilligers)"),"Vast tarief"),"")</f>
        <v/>
      </c>
      <c r="O1977" s="90"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0"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1"/>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59"/>
      <c r="Z1977" s="49"/>
      <c r="AA1977" s="37" t="str" cm="1">
        <f t="array" ref="AA1977">IFERROR(IF(INDEX(SubsidieTabel!$Q$1:$T$9,MATCH($F1977,SubsidieTabel!$Q$1:$Q$9,0),IFERROR(MATCH(Methode_Keuze,SubsidieTabel!$Q$1:$T$1,0),2))&lt;&gt;1=TRUE,"ja",""),"")</f>
        <v/>
      </c>
    </row>
    <row r="1978" spans="1:27" ht="15" customHeight="1" x14ac:dyDescent="0.25">
      <c r="A1978" s="85"/>
      <c r="B1978" s="217" t="str">
        <f>IF(A1978&lt;&gt;"",_xlfn.MAXIFS($B$1:B1977,$A$1:A1977,A1978)+1,"")</f>
        <v/>
      </c>
      <c r="C1978" s="50"/>
      <c r="D1978" s="50"/>
      <c r="E1978" s="50"/>
      <c r="F1978" s="50"/>
      <c r="G1978" s="280"/>
      <c r="H1978" s="293"/>
      <c r="I1978" s="292"/>
      <c r="J1978" s="292"/>
      <c r="K1978" s="200"/>
      <c r="L1978" s="200"/>
      <c r="M1978" s="89" t="str">
        <f>IFERROR(VLOOKUP(H1978,Lijsten!$H$1:$I$100,2,0),"")</f>
        <v/>
      </c>
      <c r="N1978" s="89" t="str" cm="1">
        <f t="array" ref="N1978">IFERROR(_xlfn.IFS(AND(LEFT(F1978,6)="Arbeid",RIGHT(F1978,3)&lt;&gt;"IKS"),IFERROR(VLOOKUP($G1978,Tb_KostenTypen[],2,0),"tarief"),RIGHT(F1978,3)="IKS","Uurtarief",LEFT(F1978,6)="Arbeid","Uurtarief",AND(LEFT(F1978,8)="Bijdrage",RIGHT(F1978,15)="(vrijwilligers)"),"Vast tarief"),"")</f>
        <v/>
      </c>
      <c r="O1978" s="90"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0"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1"/>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59"/>
      <c r="Z1978" s="49"/>
      <c r="AA1978" s="37" t="str" cm="1">
        <f t="array" ref="AA1978">IFERROR(IF(INDEX(SubsidieTabel!$Q$1:$T$9,MATCH($F1978,SubsidieTabel!$Q$1:$Q$9,0),IFERROR(MATCH(Methode_Keuze,SubsidieTabel!$Q$1:$T$1,0),2))&lt;&gt;1=TRUE,"ja",""),"")</f>
        <v/>
      </c>
    </row>
    <row r="1979" spans="1:27" ht="15" customHeight="1" x14ac:dyDescent="0.25">
      <c r="A1979" s="85"/>
      <c r="B1979" s="217" t="str">
        <f>IF(A1979&lt;&gt;"",_xlfn.MAXIFS($B$1:B1978,$A$1:A1978,A1979)+1,"")</f>
        <v/>
      </c>
      <c r="C1979" s="50"/>
      <c r="D1979" s="50"/>
      <c r="E1979" s="50"/>
      <c r="F1979" s="50"/>
      <c r="G1979" s="280"/>
      <c r="H1979" s="293"/>
      <c r="I1979" s="292"/>
      <c r="J1979" s="292"/>
      <c r="K1979" s="200"/>
      <c r="L1979" s="200"/>
      <c r="M1979" s="89" t="str">
        <f>IFERROR(VLOOKUP(H1979,Lijsten!$H$1:$I$100,2,0),"")</f>
        <v/>
      </c>
      <c r="N1979" s="89" t="str" cm="1">
        <f t="array" ref="N1979">IFERROR(_xlfn.IFS(AND(LEFT(F1979,6)="Arbeid",RIGHT(F1979,3)&lt;&gt;"IKS"),IFERROR(VLOOKUP($G1979,Tb_KostenTypen[],2,0),"tarief"),RIGHT(F1979,3)="IKS","Uurtarief",LEFT(F1979,6)="Arbeid","Uurtarief",AND(LEFT(F1979,8)="Bijdrage",RIGHT(F1979,15)="(vrijwilligers)"),"Vast tarief"),"")</f>
        <v/>
      </c>
      <c r="O1979" s="90"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0"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1"/>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59"/>
      <c r="Z1979" s="49"/>
      <c r="AA1979" s="37" t="str" cm="1">
        <f t="array" ref="AA1979">IFERROR(IF(INDEX(SubsidieTabel!$Q$1:$T$9,MATCH($F1979,SubsidieTabel!$Q$1:$Q$9,0),IFERROR(MATCH(Methode_Keuze,SubsidieTabel!$Q$1:$T$1,0),2))&lt;&gt;1=TRUE,"ja",""),"")</f>
        <v/>
      </c>
    </row>
    <row r="1980" spans="1:27" ht="15" customHeight="1" x14ac:dyDescent="0.25">
      <c r="A1980" s="85"/>
      <c r="B1980" s="217" t="str">
        <f>IF(A1980&lt;&gt;"",_xlfn.MAXIFS($B$1:B1979,$A$1:A1979,A1980)+1,"")</f>
        <v/>
      </c>
      <c r="C1980" s="50"/>
      <c r="D1980" s="50"/>
      <c r="E1980" s="50"/>
      <c r="F1980" s="50"/>
      <c r="G1980" s="280"/>
      <c r="H1980" s="293"/>
      <c r="I1980" s="292"/>
      <c r="J1980" s="292"/>
      <c r="K1980" s="200"/>
      <c r="L1980" s="200"/>
      <c r="M1980" s="89" t="str">
        <f>IFERROR(VLOOKUP(H1980,Lijsten!$H$1:$I$100,2,0),"")</f>
        <v/>
      </c>
      <c r="N1980" s="89" t="str" cm="1">
        <f t="array" ref="N1980">IFERROR(_xlfn.IFS(AND(LEFT(F1980,6)="Arbeid",RIGHT(F1980,3)&lt;&gt;"IKS"),IFERROR(VLOOKUP($G1980,Tb_KostenTypen[],2,0),"tarief"),RIGHT(F1980,3)="IKS","Uurtarief",LEFT(F1980,6)="Arbeid","Uurtarief",AND(LEFT(F1980,8)="Bijdrage",RIGHT(F1980,15)="(vrijwilligers)"),"Vast tarief"),"")</f>
        <v/>
      </c>
      <c r="O1980" s="90"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0"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1"/>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59"/>
      <c r="Z1980" s="49"/>
      <c r="AA1980" s="37" t="str" cm="1">
        <f t="array" ref="AA1980">IFERROR(IF(INDEX(SubsidieTabel!$Q$1:$T$9,MATCH($F1980,SubsidieTabel!$Q$1:$Q$9,0),IFERROR(MATCH(Methode_Keuze,SubsidieTabel!$Q$1:$T$1,0),2))&lt;&gt;1=TRUE,"ja",""),"")</f>
        <v/>
      </c>
    </row>
    <row r="1981" spans="1:27" ht="15" customHeight="1" x14ac:dyDescent="0.25">
      <c r="A1981" s="85"/>
      <c r="B1981" s="217" t="str">
        <f>IF(A1981&lt;&gt;"",_xlfn.MAXIFS($B$1:B1980,$A$1:A1980,A1981)+1,"")</f>
        <v/>
      </c>
      <c r="C1981" s="50"/>
      <c r="D1981" s="50"/>
      <c r="E1981" s="50"/>
      <c r="F1981" s="50"/>
      <c r="G1981" s="280"/>
      <c r="H1981" s="293"/>
      <c r="I1981" s="292"/>
      <c r="J1981" s="292"/>
      <c r="K1981" s="200"/>
      <c r="L1981" s="200"/>
      <c r="M1981" s="89" t="str">
        <f>IFERROR(VLOOKUP(H1981,Lijsten!$H$1:$I$100,2,0),"")</f>
        <v/>
      </c>
      <c r="N1981" s="89" t="str" cm="1">
        <f t="array" ref="N1981">IFERROR(_xlfn.IFS(AND(LEFT(F1981,6)="Arbeid",RIGHT(F1981,3)&lt;&gt;"IKS"),IFERROR(VLOOKUP($G1981,Tb_KostenTypen[],2,0),"tarief"),RIGHT(F1981,3)="IKS","Uurtarief",LEFT(F1981,6)="Arbeid","Uurtarief",AND(LEFT(F1981,8)="Bijdrage",RIGHT(F1981,15)="(vrijwilligers)"),"Vast tarief"),"")</f>
        <v/>
      </c>
      <c r="O1981" s="90"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0"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1"/>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59"/>
      <c r="Z1981" s="49"/>
      <c r="AA1981" s="37" t="str" cm="1">
        <f t="array" ref="AA1981">IFERROR(IF(INDEX(SubsidieTabel!$Q$1:$T$9,MATCH($F1981,SubsidieTabel!$Q$1:$Q$9,0),IFERROR(MATCH(Methode_Keuze,SubsidieTabel!$Q$1:$T$1,0),2))&lt;&gt;1=TRUE,"ja",""),"")</f>
        <v/>
      </c>
    </row>
    <row r="1982" spans="1:27" ht="15" customHeight="1" x14ac:dyDescent="0.25">
      <c r="A1982" s="85"/>
      <c r="B1982" s="217" t="str">
        <f>IF(A1982&lt;&gt;"",_xlfn.MAXIFS($B$1:B1981,$A$1:A1981,A1982)+1,"")</f>
        <v/>
      </c>
      <c r="C1982" s="50"/>
      <c r="D1982" s="50"/>
      <c r="E1982" s="50"/>
      <c r="F1982" s="50"/>
      <c r="G1982" s="280"/>
      <c r="H1982" s="293"/>
      <c r="I1982" s="292"/>
      <c r="J1982" s="292"/>
      <c r="K1982" s="200"/>
      <c r="L1982" s="200"/>
      <c r="M1982" s="89" t="str">
        <f>IFERROR(VLOOKUP(H1982,Lijsten!$H$1:$I$100,2,0),"")</f>
        <v/>
      </c>
      <c r="N1982" s="89" t="str" cm="1">
        <f t="array" ref="N1982">IFERROR(_xlfn.IFS(AND(LEFT(F1982,6)="Arbeid",RIGHT(F1982,3)&lt;&gt;"IKS"),IFERROR(VLOOKUP($G1982,Tb_KostenTypen[],2,0),"tarief"),RIGHT(F1982,3)="IKS","Uurtarief",LEFT(F1982,6)="Arbeid","Uurtarief",AND(LEFT(F1982,8)="Bijdrage",RIGHT(F1982,15)="(vrijwilligers)"),"Vast tarief"),"")</f>
        <v/>
      </c>
      <c r="O1982" s="90"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0"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1"/>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59"/>
      <c r="Z1982" s="49"/>
      <c r="AA1982" s="37" t="str" cm="1">
        <f t="array" ref="AA1982">IFERROR(IF(INDEX(SubsidieTabel!$Q$1:$T$9,MATCH($F1982,SubsidieTabel!$Q$1:$Q$9,0),IFERROR(MATCH(Methode_Keuze,SubsidieTabel!$Q$1:$T$1,0),2))&lt;&gt;1=TRUE,"ja",""),"")</f>
        <v/>
      </c>
    </row>
    <row r="1983" spans="1:27" ht="15" customHeight="1" x14ac:dyDescent="0.25">
      <c r="A1983" s="85"/>
      <c r="B1983" s="217" t="str">
        <f>IF(A1983&lt;&gt;"",_xlfn.MAXIFS($B$1:B1982,$A$1:A1982,A1983)+1,"")</f>
        <v/>
      </c>
      <c r="C1983" s="50"/>
      <c r="D1983" s="50"/>
      <c r="E1983" s="50"/>
      <c r="F1983" s="50"/>
      <c r="G1983" s="280"/>
      <c r="H1983" s="293"/>
      <c r="I1983" s="292"/>
      <c r="J1983" s="292"/>
      <c r="K1983" s="200"/>
      <c r="L1983" s="200"/>
      <c r="M1983" s="89" t="str">
        <f>IFERROR(VLOOKUP(H1983,Lijsten!$H$1:$I$100,2,0),"")</f>
        <v/>
      </c>
      <c r="N1983" s="89" t="str" cm="1">
        <f t="array" ref="N1983">IFERROR(_xlfn.IFS(AND(LEFT(F1983,6)="Arbeid",RIGHT(F1983,3)&lt;&gt;"IKS"),IFERROR(VLOOKUP($G1983,Tb_KostenTypen[],2,0),"tarief"),RIGHT(F1983,3)="IKS","Uurtarief",LEFT(F1983,6)="Arbeid","Uurtarief",AND(LEFT(F1983,8)="Bijdrage",RIGHT(F1983,15)="(vrijwilligers)"),"Vast tarief"),"")</f>
        <v/>
      </c>
      <c r="O1983" s="90"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0"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1"/>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59"/>
      <c r="Z1983" s="49"/>
      <c r="AA1983" s="37" t="str" cm="1">
        <f t="array" ref="AA1983">IFERROR(IF(INDEX(SubsidieTabel!$Q$1:$T$9,MATCH($F1983,SubsidieTabel!$Q$1:$Q$9,0),IFERROR(MATCH(Methode_Keuze,SubsidieTabel!$Q$1:$T$1,0),2))&lt;&gt;1=TRUE,"ja",""),"")</f>
        <v/>
      </c>
    </row>
    <row r="1984" spans="1:27" ht="15" customHeight="1" x14ac:dyDescent="0.25">
      <c r="A1984" s="85"/>
      <c r="B1984" s="217" t="str">
        <f>IF(A1984&lt;&gt;"",_xlfn.MAXIFS($B$1:B1983,$A$1:A1983,A1984)+1,"")</f>
        <v/>
      </c>
      <c r="C1984" s="50"/>
      <c r="D1984" s="50"/>
      <c r="E1984" s="50"/>
      <c r="F1984" s="50"/>
      <c r="G1984" s="280"/>
      <c r="H1984" s="293"/>
      <c r="I1984" s="292"/>
      <c r="J1984" s="292"/>
      <c r="K1984" s="200"/>
      <c r="L1984" s="200"/>
      <c r="M1984" s="89" t="str">
        <f>IFERROR(VLOOKUP(H1984,Lijsten!$H$1:$I$100,2,0),"")</f>
        <v/>
      </c>
      <c r="N1984" s="89" t="str" cm="1">
        <f t="array" ref="N1984">IFERROR(_xlfn.IFS(AND(LEFT(F1984,6)="Arbeid",RIGHT(F1984,3)&lt;&gt;"IKS"),IFERROR(VLOOKUP($G1984,Tb_KostenTypen[],2,0),"tarief"),RIGHT(F1984,3)="IKS","Uurtarief",LEFT(F1984,6)="Arbeid","Uurtarief",AND(LEFT(F1984,8)="Bijdrage",RIGHT(F1984,15)="(vrijwilligers)"),"Vast tarief"),"")</f>
        <v/>
      </c>
      <c r="O1984" s="90"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0"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1"/>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59"/>
      <c r="Z1984" s="49"/>
      <c r="AA1984" s="37" t="str" cm="1">
        <f t="array" ref="AA1984">IFERROR(IF(INDEX(SubsidieTabel!$Q$1:$T$9,MATCH($F1984,SubsidieTabel!$Q$1:$Q$9,0),IFERROR(MATCH(Methode_Keuze,SubsidieTabel!$Q$1:$T$1,0),2))&lt;&gt;1=TRUE,"ja",""),"")</f>
        <v/>
      </c>
    </row>
    <row r="1985" spans="1:27" ht="15" customHeight="1" x14ac:dyDescent="0.25">
      <c r="A1985" s="85"/>
      <c r="B1985" s="217" t="str">
        <f>IF(A1985&lt;&gt;"",_xlfn.MAXIFS($B$1:B1984,$A$1:A1984,A1985)+1,"")</f>
        <v/>
      </c>
      <c r="C1985" s="50"/>
      <c r="D1985" s="50"/>
      <c r="E1985" s="50"/>
      <c r="F1985" s="50"/>
      <c r="G1985" s="280"/>
      <c r="H1985" s="293"/>
      <c r="I1985" s="292"/>
      <c r="J1985" s="292"/>
      <c r="K1985" s="200"/>
      <c r="L1985" s="200"/>
      <c r="M1985" s="89" t="str">
        <f>IFERROR(VLOOKUP(H1985,Lijsten!$H$1:$I$100,2,0),"")</f>
        <v/>
      </c>
      <c r="N1985" s="89" t="str" cm="1">
        <f t="array" ref="N1985">IFERROR(_xlfn.IFS(AND(LEFT(F1985,6)="Arbeid",RIGHT(F1985,3)&lt;&gt;"IKS"),IFERROR(VLOOKUP($G1985,Tb_KostenTypen[],2,0),"tarief"),RIGHT(F1985,3)="IKS","Uurtarief",LEFT(F1985,6)="Arbeid","Uurtarief",AND(LEFT(F1985,8)="Bijdrage",RIGHT(F1985,15)="(vrijwilligers)"),"Vast tarief"),"")</f>
        <v/>
      </c>
      <c r="O1985" s="90"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0"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1"/>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59"/>
      <c r="Z1985" s="49"/>
      <c r="AA1985" s="37" t="str" cm="1">
        <f t="array" ref="AA1985">IFERROR(IF(INDEX(SubsidieTabel!$Q$1:$T$9,MATCH($F1985,SubsidieTabel!$Q$1:$Q$9,0),IFERROR(MATCH(Methode_Keuze,SubsidieTabel!$Q$1:$T$1,0),2))&lt;&gt;1=TRUE,"ja",""),"")</f>
        <v/>
      </c>
    </row>
    <row r="1986" spans="1:27" ht="15" customHeight="1" x14ac:dyDescent="0.25">
      <c r="A1986" s="85"/>
      <c r="B1986" s="217" t="str">
        <f>IF(A1986&lt;&gt;"",_xlfn.MAXIFS($B$1:B1985,$A$1:A1985,A1986)+1,"")</f>
        <v/>
      </c>
      <c r="C1986" s="50"/>
      <c r="D1986" s="50"/>
      <c r="E1986" s="50"/>
      <c r="F1986" s="50"/>
      <c r="G1986" s="280"/>
      <c r="H1986" s="293"/>
      <c r="I1986" s="292"/>
      <c r="J1986" s="292"/>
      <c r="K1986" s="200"/>
      <c r="L1986" s="200"/>
      <c r="M1986" s="89" t="str">
        <f>IFERROR(VLOOKUP(H1986,Lijsten!$H$1:$I$100,2,0),"")</f>
        <v/>
      </c>
      <c r="N1986" s="89" t="str" cm="1">
        <f t="array" ref="N1986">IFERROR(_xlfn.IFS(AND(LEFT(F1986,6)="Arbeid",RIGHT(F1986,3)&lt;&gt;"IKS"),IFERROR(VLOOKUP($G1986,Tb_KostenTypen[],2,0),"tarief"),RIGHT(F1986,3)="IKS","Uurtarief",LEFT(F1986,6)="Arbeid","Uurtarief",AND(LEFT(F1986,8)="Bijdrage",RIGHT(F1986,15)="(vrijwilligers)"),"Vast tarief"),"")</f>
        <v/>
      </c>
      <c r="O1986" s="90"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0"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1"/>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59"/>
      <c r="Z1986" s="49"/>
      <c r="AA1986" s="37" t="str" cm="1">
        <f t="array" ref="AA1986">IFERROR(IF(INDEX(SubsidieTabel!$Q$1:$T$9,MATCH($F1986,SubsidieTabel!$Q$1:$Q$9,0),IFERROR(MATCH(Methode_Keuze,SubsidieTabel!$Q$1:$T$1,0),2))&lt;&gt;1=TRUE,"ja",""),"")</f>
        <v/>
      </c>
    </row>
    <row r="1987" spans="1:27" ht="15" customHeight="1" x14ac:dyDescent="0.25">
      <c r="A1987" s="85"/>
      <c r="B1987" s="217" t="str">
        <f>IF(A1987&lt;&gt;"",_xlfn.MAXIFS($B$1:B1986,$A$1:A1986,A1987)+1,"")</f>
        <v/>
      </c>
      <c r="C1987" s="50"/>
      <c r="D1987" s="50"/>
      <c r="E1987" s="50"/>
      <c r="F1987" s="50"/>
      <c r="G1987" s="280"/>
      <c r="H1987" s="293"/>
      <c r="I1987" s="292"/>
      <c r="J1987" s="292"/>
      <c r="K1987" s="200"/>
      <c r="L1987" s="200"/>
      <c r="M1987" s="89" t="str">
        <f>IFERROR(VLOOKUP(H1987,Lijsten!$H$1:$I$100,2,0),"")</f>
        <v/>
      </c>
      <c r="N1987" s="89" t="str" cm="1">
        <f t="array" ref="N1987">IFERROR(_xlfn.IFS(AND(LEFT(F1987,6)="Arbeid",RIGHT(F1987,3)&lt;&gt;"IKS"),IFERROR(VLOOKUP($G1987,Tb_KostenTypen[],2,0),"tarief"),RIGHT(F1987,3)="IKS","Uurtarief",LEFT(F1987,6)="Arbeid","Uurtarief",AND(LEFT(F1987,8)="Bijdrage",RIGHT(F1987,15)="(vrijwilligers)"),"Vast tarief"),"")</f>
        <v/>
      </c>
      <c r="O1987" s="90"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0"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1"/>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59"/>
      <c r="Z1987" s="49"/>
      <c r="AA1987" s="37" t="str" cm="1">
        <f t="array" ref="AA1987">IFERROR(IF(INDEX(SubsidieTabel!$Q$1:$T$9,MATCH($F1987,SubsidieTabel!$Q$1:$Q$9,0),IFERROR(MATCH(Methode_Keuze,SubsidieTabel!$Q$1:$T$1,0),2))&lt;&gt;1=TRUE,"ja",""),"")</f>
        <v/>
      </c>
    </row>
    <row r="1988" spans="1:27" ht="15" customHeight="1" x14ac:dyDescent="0.25">
      <c r="A1988" s="85"/>
      <c r="B1988" s="217" t="str">
        <f>IF(A1988&lt;&gt;"",_xlfn.MAXIFS($B$1:B1987,$A$1:A1987,A1988)+1,"")</f>
        <v/>
      </c>
      <c r="C1988" s="50"/>
      <c r="D1988" s="50"/>
      <c r="E1988" s="50"/>
      <c r="F1988" s="50"/>
      <c r="G1988" s="280"/>
      <c r="H1988" s="293"/>
      <c r="I1988" s="292"/>
      <c r="J1988" s="292"/>
      <c r="K1988" s="200"/>
      <c r="L1988" s="200"/>
      <c r="M1988" s="89" t="str">
        <f>IFERROR(VLOOKUP(H1988,Lijsten!$H$1:$I$100,2,0),"")</f>
        <v/>
      </c>
      <c r="N1988" s="89" t="str" cm="1">
        <f t="array" ref="N1988">IFERROR(_xlfn.IFS(AND(LEFT(F1988,6)="Arbeid",RIGHT(F1988,3)&lt;&gt;"IKS"),IFERROR(VLOOKUP($G1988,Tb_KostenTypen[],2,0),"tarief"),RIGHT(F1988,3)="IKS","Uurtarief",LEFT(F1988,6)="Arbeid","Uurtarief",AND(LEFT(F1988,8)="Bijdrage",RIGHT(F1988,15)="(vrijwilligers)"),"Vast tarief"),"")</f>
        <v/>
      </c>
      <c r="O1988" s="90"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0"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1"/>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59"/>
      <c r="Z1988" s="49"/>
      <c r="AA1988" s="37" t="str" cm="1">
        <f t="array" ref="AA1988">IFERROR(IF(INDEX(SubsidieTabel!$Q$1:$T$9,MATCH($F1988,SubsidieTabel!$Q$1:$Q$9,0),IFERROR(MATCH(Methode_Keuze,SubsidieTabel!$Q$1:$T$1,0),2))&lt;&gt;1=TRUE,"ja",""),"")</f>
        <v/>
      </c>
    </row>
    <row r="1989" spans="1:27" ht="15" customHeight="1" x14ac:dyDescent="0.25">
      <c r="A1989" s="85"/>
      <c r="B1989" s="217" t="str">
        <f>IF(A1989&lt;&gt;"",_xlfn.MAXIFS($B$1:B1988,$A$1:A1988,A1989)+1,"")</f>
        <v/>
      </c>
      <c r="C1989" s="50"/>
      <c r="D1989" s="50"/>
      <c r="E1989" s="50"/>
      <c r="F1989" s="50"/>
      <c r="G1989" s="280"/>
      <c r="H1989" s="293"/>
      <c r="I1989" s="292"/>
      <c r="J1989" s="292"/>
      <c r="K1989" s="200"/>
      <c r="L1989" s="200"/>
      <c r="M1989" s="89" t="str">
        <f>IFERROR(VLOOKUP(H1989,Lijsten!$H$1:$I$100,2,0),"")</f>
        <v/>
      </c>
      <c r="N1989" s="89" t="str" cm="1">
        <f t="array" ref="N1989">IFERROR(_xlfn.IFS(AND(LEFT(F1989,6)="Arbeid",RIGHT(F1989,3)&lt;&gt;"IKS"),IFERROR(VLOOKUP($G1989,Tb_KostenTypen[],2,0),"tarief"),RIGHT(F1989,3)="IKS","Uurtarief",LEFT(F1989,6)="Arbeid","Uurtarief",AND(LEFT(F1989,8)="Bijdrage",RIGHT(F1989,15)="(vrijwilligers)"),"Vast tarief"),"")</f>
        <v/>
      </c>
      <c r="O1989" s="90"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0"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1"/>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59"/>
      <c r="Z1989" s="49"/>
      <c r="AA1989" s="37" t="str" cm="1">
        <f t="array" ref="AA1989">IFERROR(IF(INDEX(SubsidieTabel!$Q$1:$T$9,MATCH($F1989,SubsidieTabel!$Q$1:$Q$9,0),IFERROR(MATCH(Methode_Keuze,SubsidieTabel!$Q$1:$T$1,0),2))&lt;&gt;1=TRUE,"ja",""),"")</f>
        <v/>
      </c>
    </row>
    <row r="1990" spans="1:27" ht="15" customHeight="1" x14ac:dyDescent="0.25">
      <c r="A1990" s="85"/>
      <c r="B1990" s="217" t="str">
        <f>IF(A1990&lt;&gt;"",_xlfn.MAXIFS($B$1:B1989,$A$1:A1989,A1990)+1,"")</f>
        <v/>
      </c>
      <c r="C1990" s="50"/>
      <c r="D1990" s="50"/>
      <c r="E1990" s="50"/>
      <c r="F1990" s="50"/>
      <c r="G1990" s="280"/>
      <c r="H1990" s="293"/>
      <c r="I1990" s="292"/>
      <c r="J1990" s="292"/>
      <c r="K1990" s="200"/>
      <c r="L1990" s="200"/>
      <c r="M1990" s="89" t="str">
        <f>IFERROR(VLOOKUP(H1990,Lijsten!$H$1:$I$100,2,0),"")</f>
        <v/>
      </c>
      <c r="N1990" s="89" t="str" cm="1">
        <f t="array" ref="N1990">IFERROR(_xlfn.IFS(AND(LEFT(F1990,6)="Arbeid",RIGHT(F1990,3)&lt;&gt;"IKS"),IFERROR(VLOOKUP($G1990,Tb_KostenTypen[],2,0),"tarief"),RIGHT(F1990,3)="IKS","Uurtarief",LEFT(F1990,6)="Arbeid","Uurtarief",AND(LEFT(F1990,8)="Bijdrage",RIGHT(F1990,15)="(vrijwilligers)"),"Vast tarief"),"")</f>
        <v/>
      </c>
      <c r="O1990" s="90"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0"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1"/>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59"/>
      <c r="Z1990" s="49"/>
      <c r="AA1990" s="37" t="str" cm="1">
        <f t="array" ref="AA1990">IFERROR(IF(INDEX(SubsidieTabel!$Q$1:$T$9,MATCH($F1990,SubsidieTabel!$Q$1:$Q$9,0),IFERROR(MATCH(Methode_Keuze,SubsidieTabel!$Q$1:$T$1,0),2))&lt;&gt;1=TRUE,"ja",""),"")</f>
        <v/>
      </c>
    </row>
    <row r="1991" spans="1:27" ht="15" customHeight="1" x14ac:dyDescent="0.25">
      <c r="A1991" s="85"/>
      <c r="B1991" s="217" t="str">
        <f>IF(A1991&lt;&gt;"",_xlfn.MAXIFS($B$1:B1990,$A$1:A1990,A1991)+1,"")</f>
        <v/>
      </c>
      <c r="C1991" s="50"/>
      <c r="D1991" s="50"/>
      <c r="E1991" s="50"/>
      <c r="F1991" s="50"/>
      <c r="G1991" s="280"/>
      <c r="H1991" s="293"/>
      <c r="I1991" s="292"/>
      <c r="J1991" s="292"/>
      <c r="K1991" s="200"/>
      <c r="L1991" s="200"/>
      <c r="M1991" s="89" t="str">
        <f>IFERROR(VLOOKUP(H1991,Lijsten!$H$1:$I$100,2,0),"")</f>
        <v/>
      </c>
      <c r="N1991" s="89" t="str" cm="1">
        <f t="array" ref="N1991">IFERROR(_xlfn.IFS(AND(LEFT(F1991,6)="Arbeid",RIGHT(F1991,3)&lt;&gt;"IKS"),IFERROR(VLOOKUP($G1991,Tb_KostenTypen[],2,0),"tarief"),RIGHT(F1991,3)="IKS","Uurtarief",LEFT(F1991,6)="Arbeid","Uurtarief",AND(LEFT(F1991,8)="Bijdrage",RIGHT(F1991,15)="(vrijwilligers)"),"Vast tarief"),"")</f>
        <v/>
      </c>
      <c r="O1991" s="90"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0"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1"/>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59"/>
      <c r="Z1991" s="49"/>
      <c r="AA1991" s="37" t="str" cm="1">
        <f t="array" ref="AA1991">IFERROR(IF(INDEX(SubsidieTabel!$Q$1:$T$9,MATCH($F1991,SubsidieTabel!$Q$1:$Q$9,0),IFERROR(MATCH(Methode_Keuze,SubsidieTabel!$Q$1:$T$1,0),2))&lt;&gt;1=TRUE,"ja",""),"")</f>
        <v/>
      </c>
    </row>
    <row r="1992" spans="1:27" ht="15" customHeight="1" x14ac:dyDescent="0.25">
      <c r="A1992" s="85"/>
      <c r="B1992" s="217" t="str">
        <f>IF(A1992&lt;&gt;"",_xlfn.MAXIFS($B$1:B1991,$A$1:A1991,A1992)+1,"")</f>
        <v/>
      </c>
      <c r="C1992" s="50"/>
      <c r="D1992" s="50"/>
      <c r="E1992" s="50"/>
      <c r="F1992" s="50"/>
      <c r="G1992" s="280"/>
      <c r="H1992" s="293"/>
      <c r="I1992" s="292"/>
      <c r="J1992" s="292"/>
      <c r="K1992" s="200"/>
      <c r="L1992" s="200"/>
      <c r="M1992" s="89" t="str">
        <f>IFERROR(VLOOKUP(H1992,Lijsten!$H$1:$I$100,2,0),"")</f>
        <v/>
      </c>
      <c r="N1992" s="89" t="str" cm="1">
        <f t="array" ref="N1992">IFERROR(_xlfn.IFS(AND(LEFT(F1992,6)="Arbeid",RIGHT(F1992,3)&lt;&gt;"IKS"),IFERROR(VLOOKUP($G1992,Tb_KostenTypen[],2,0),"tarief"),RIGHT(F1992,3)="IKS","Uurtarief",LEFT(F1992,6)="Arbeid","Uurtarief",AND(LEFT(F1992,8)="Bijdrage",RIGHT(F1992,15)="(vrijwilligers)"),"Vast tarief"),"")</f>
        <v/>
      </c>
      <c r="O1992" s="90"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0"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1"/>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59"/>
      <c r="Z1992" s="49"/>
      <c r="AA1992" s="37" t="str" cm="1">
        <f t="array" ref="AA1992">IFERROR(IF(INDEX(SubsidieTabel!$Q$1:$T$9,MATCH($F1992,SubsidieTabel!$Q$1:$Q$9,0),IFERROR(MATCH(Methode_Keuze,SubsidieTabel!$Q$1:$T$1,0),2))&lt;&gt;1=TRUE,"ja",""),"")</f>
        <v/>
      </c>
    </row>
    <row r="1993" spans="1:27" ht="15" customHeight="1" x14ac:dyDescent="0.25">
      <c r="A1993" s="85"/>
      <c r="B1993" s="217" t="str">
        <f>IF(A1993&lt;&gt;"",_xlfn.MAXIFS($B$1:B1992,$A$1:A1992,A1993)+1,"")</f>
        <v/>
      </c>
      <c r="C1993" s="50"/>
      <c r="D1993" s="50"/>
      <c r="E1993" s="50"/>
      <c r="F1993" s="50"/>
      <c r="G1993" s="280"/>
      <c r="H1993" s="293"/>
      <c r="I1993" s="292"/>
      <c r="J1993" s="292"/>
      <c r="K1993" s="200"/>
      <c r="L1993" s="200"/>
      <c r="M1993" s="89" t="str">
        <f>IFERROR(VLOOKUP(H1993,Lijsten!$H$1:$I$100,2,0),"")</f>
        <v/>
      </c>
      <c r="N1993" s="89" t="str" cm="1">
        <f t="array" ref="N1993">IFERROR(_xlfn.IFS(AND(LEFT(F1993,6)="Arbeid",RIGHT(F1993,3)&lt;&gt;"IKS"),IFERROR(VLOOKUP($G1993,Tb_KostenTypen[],2,0),"tarief"),RIGHT(F1993,3)="IKS","Uurtarief",LEFT(F1993,6)="Arbeid","Uurtarief",AND(LEFT(F1993,8)="Bijdrage",RIGHT(F1993,15)="(vrijwilligers)"),"Vast tarief"),"")</f>
        <v/>
      </c>
      <c r="O1993" s="90"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0"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1"/>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59"/>
      <c r="Z1993" s="49"/>
      <c r="AA1993" s="37" t="str" cm="1">
        <f t="array" ref="AA1993">IFERROR(IF(INDEX(SubsidieTabel!$Q$1:$T$9,MATCH($F1993,SubsidieTabel!$Q$1:$Q$9,0),IFERROR(MATCH(Methode_Keuze,SubsidieTabel!$Q$1:$T$1,0),2))&lt;&gt;1=TRUE,"ja",""),"")</f>
        <v/>
      </c>
    </row>
    <row r="1994" spans="1:27" ht="15" customHeight="1" x14ac:dyDescent="0.25">
      <c r="A1994" s="85"/>
      <c r="B1994" s="217" t="str">
        <f>IF(A1994&lt;&gt;"",_xlfn.MAXIFS($B$1:B1993,$A$1:A1993,A1994)+1,"")</f>
        <v/>
      </c>
      <c r="C1994" s="50"/>
      <c r="D1994" s="50"/>
      <c r="E1994" s="50"/>
      <c r="F1994" s="50"/>
      <c r="G1994" s="280"/>
      <c r="H1994" s="293"/>
      <c r="I1994" s="292"/>
      <c r="J1994" s="292"/>
      <c r="K1994" s="200"/>
      <c r="L1994" s="200"/>
      <c r="M1994" s="89" t="str">
        <f>IFERROR(VLOOKUP(H1994,Lijsten!$H$1:$I$100,2,0),"")</f>
        <v/>
      </c>
      <c r="N1994" s="89" t="str" cm="1">
        <f t="array" ref="N1994">IFERROR(_xlfn.IFS(AND(LEFT(F1994,6)="Arbeid",RIGHT(F1994,3)&lt;&gt;"IKS"),IFERROR(VLOOKUP($G1994,Tb_KostenTypen[],2,0),"tarief"),RIGHT(F1994,3)="IKS","Uurtarief",LEFT(F1994,6)="Arbeid","Uurtarief",AND(LEFT(F1994,8)="Bijdrage",RIGHT(F1994,15)="(vrijwilligers)"),"Vast tarief"),"")</f>
        <v/>
      </c>
      <c r="O1994" s="90"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0"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1"/>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59"/>
      <c r="Z1994" s="49"/>
      <c r="AA1994" s="37" t="str" cm="1">
        <f t="array" ref="AA1994">IFERROR(IF(INDEX(SubsidieTabel!$Q$1:$T$9,MATCH($F1994,SubsidieTabel!$Q$1:$Q$9,0),IFERROR(MATCH(Methode_Keuze,SubsidieTabel!$Q$1:$T$1,0),2))&lt;&gt;1=TRUE,"ja",""),"")</f>
        <v/>
      </c>
    </row>
    <row r="1995" spans="1:27" ht="15" customHeight="1" x14ac:dyDescent="0.25">
      <c r="A1995" s="85"/>
      <c r="B1995" s="217" t="str">
        <f>IF(A1995&lt;&gt;"",_xlfn.MAXIFS($B$1:B1994,$A$1:A1994,A1995)+1,"")</f>
        <v/>
      </c>
      <c r="C1995" s="50"/>
      <c r="D1995" s="50"/>
      <c r="E1995" s="50"/>
      <c r="F1995" s="50"/>
      <c r="G1995" s="280"/>
      <c r="H1995" s="293"/>
      <c r="I1995" s="292"/>
      <c r="J1995" s="292"/>
      <c r="K1995" s="200"/>
      <c r="L1995" s="200"/>
      <c r="M1995" s="89" t="str">
        <f>IFERROR(VLOOKUP(H1995,Lijsten!$H$1:$I$100,2,0),"")</f>
        <v/>
      </c>
      <c r="N1995" s="89" t="str" cm="1">
        <f t="array" ref="N1995">IFERROR(_xlfn.IFS(AND(LEFT(F1995,6)="Arbeid",RIGHT(F1995,3)&lt;&gt;"IKS"),IFERROR(VLOOKUP($G1995,Tb_KostenTypen[],2,0),"tarief"),RIGHT(F1995,3)="IKS","Uurtarief",LEFT(F1995,6)="Arbeid","Uurtarief",AND(LEFT(F1995,8)="Bijdrage",RIGHT(F1995,15)="(vrijwilligers)"),"Vast tarief"),"")</f>
        <v/>
      </c>
      <c r="O1995" s="90"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0"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1"/>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59"/>
      <c r="Z1995" s="49"/>
      <c r="AA1995" s="37" t="str" cm="1">
        <f t="array" ref="AA1995">IFERROR(IF(INDEX(SubsidieTabel!$Q$1:$T$9,MATCH($F1995,SubsidieTabel!$Q$1:$Q$9,0),IFERROR(MATCH(Methode_Keuze,SubsidieTabel!$Q$1:$T$1,0),2))&lt;&gt;1=TRUE,"ja",""),"")</f>
        <v/>
      </c>
    </row>
    <row r="1996" spans="1:27" ht="15" customHeight="1" x14ac:dyDescent="0.25">
      <c r="A1996" s="85"/>
      <c r="B1996" s="217" t="str">
        <f>IF(A1996&lt;&gt;"",_xlfn.MAXIFS($B$1:B1995,$A$1:A1995,A1996)+1,"")</f>
        <v/>
      </c>
      <c r="C1996" s="50"/>
      <c r="D1996" s="50"/>
      <c r="E1996" s="50"/>
      <c r="F1996" s="50"/>
      <c r="G1996" s="280"/>
      <c r="H1996" s="293"/>
      <c r="I1996" s="292"/>
      <c r="J1996" s="292"/>
      <c r="K1996" s="200"/>
      <c r="L1996" s="200"/>
      <c r="M1996" s="89" t="str">
        <f>IFERROR(VLOOKUP(H1996,Lijsten!$H$1:$I$100,2,0),"")</f>
        <v/>
      </c>
      <c r="N1996" s="89" t="str" cm="1">
        <f t="array" ref="N1996">IFERROR(_xlfn.IFS(AND(LEFT(F1996,6)="Arbeid",RIGHT(F1996,3)&lt;&gt;"IKS"),IFERROR(VLOOKUP($G1996,Tb_KostenTypen[],2,0),"tarief"),RIGHT(F1996,3)="IKS","Uurtarief",LEFT(F1996,6)="Arbeid","Uurtarief",AND(LEFT(F1996,8)="Bijdrage",RIGHT(F1996,15)="(vrijwilligers)"),"Vast tarief"),"")</f>
        <v/>
      </c>
      <c r="O1996" s="90"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0"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1"/>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59"/>
      <c r="Z1996" s="49"/>
      <c r="AA1996" s="37" t="str" cm="1">
        <f t="array" ref="AA1996">IFERROR(IF(INDEX(SubsidieTabel!$Q$1:$T$9,MATCH($F1996,SubsidieTabel!$Q$1:$Q$9,0),IFERROR(MATCH(Methode_Keuze,SubsidieTabel!$Q$1:$T$1,0),2))&lt;&gt;1=TRUE,"ja",""),"")</f>
        <v/>
      </c>
    </row>
    <row r="1997" spans="1:27" ht="15" customHeight="1" x14ac:dyDescent="0.25">
      <c r="A1997" s="85"/>
      <c r="B1997" s="217" t="str">
        <f>IF(A1997&lt;&gt;"",_xlfn.MAXIFS($B$1:B1996,$A$1:A1996,A1997)+1,"")</f>
        <v/>
      </c>
      <c r="C1997" s="50"/>
      <c r="D1997" s="50"/>
      <c r="E1997" s="50"/>
      <c r="F1997" s="50"/>
      <c r="G1997" s="280"/>
      <c r="H1997" s="293"/>
      <c r="I1997" s="292"/>
      <c r="J1997" s="292"/>
      <c r="K1997" s="200"/>
      <c r="L1997" s="200"/>
      <c r="M1997" s="89" t="str">
        <f>IFERROR(VLOOKUP(H1997,Lijsten!$H$1:$I$100,2,0),"")</f>
        <v/>
      </c>
      <c r="N1997" s="89" t="str" cm="1">
        <f t="array" ref="N1997">IFERROR(_xlfn.IFS(AND(LEFT(F1997,6)="Arbeid",RIGHT(F1997,3)&lt;&gt;"IKS"),IFERROR(VLOOKUP($G1997,Tb_KostenTypen[],2,0),"tarief"),RIGHT(F1997,3)="IKS","Uurtarief",LEFT(F1997,6)="Arbeid","Uurtarief",AND(LEFT(F1997,8)="Bijdrage",RIGHT(F1997,15)="(vrijwilligers)"),"Vast tarief"),"")</f>
        <v/>
      </c>
      <c r="O1997" s="90"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0"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1"/>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59"/>
      <c r="Z1997" s="49"/>
      <c r="AA1997" s="37" t="str" cm="1">
        <f t="array" ref="AA1997">IFERROR(IF(INDEX(SubsidieTabel!$Q$1:$T$9,MATCH($F1997,SubsidieTabel!$Q$1:$Q$9,0),IFERROR(MATCH(Methode_Keuze,SubsidieTabel!$Q$1:$T$1,0),2))&lt;&gt;1=TRUE,"ja",""),"")</f>
        <v/>
      </c>
    </row>
    <row r="1998" spans="1:27" ht="15" customHeight="1" x14ac:dyDescent="0.25">
      <c r="A1998" s="85"/>
      <c r="B1998" s="217" t="str">
        <f>IF(A1998&lt;&gt;"",_xlfn.MAXIFS($B$1:B1997,$A$1:A1997,A1998)+1,"")</f>
        <v/>
      </c>
      <c r="C1998" s="50"/>
      <c r="D1998" s="50"/>
      <c r="E1998" s="50"/>
      <c r="F1998" s="50"/>
      <c r="G1998" s="280"/>
      <c r="H1998" s="293"/>
      <c r="I1998" s="292"/>
      <c r="J1998" s="292"/>
      <c r="K1998" s="200"/>
      <c r="L1998" s="200"/>
      <c r="M1998" s="89" t="str">
        <f>IFERROR(VLOOKUP(H1998,Lijsten!$H$1:$I$100,2,0),"")</f>
        <v/>
      </c>
      <c r="N1998" s="89" t="str" cm="1">
        <f t="array" ref="N1998">IFERROR(_xlfn.IFS(AND(LEFT(F1998,6)="Arbeid",RIGHT(F1998,3)&lt;&gt;"IKS"),IFERROR(VLOOKUP($G1998,Tb_KostenTypen[],2,0),"tarief"),RIGHT(F1998,3)="IKS","Uurtarief",LEFT(F1998,6)="Arbeid","Uurtarief",AND(LEFT(F1998,8)="Bijdrage",RIGHT(F1998,15)="(vrijwilligers)"),"Vast tarief"),"")</f>
        <v/>
      </c>
      <c r="O1998" s="90"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0"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1"/>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59"/>
      <c r="Z1998" s="49"/>
      <c r="AA1998" s="37" t="str" cm="1">
        <f t="array" ref="AA1998">IFERROR(IF(INDEX(SubsidieTabel!$Q$1:$T$9,MATCH($F1998,SubsidieTabel!$Q$1:$Q$9,0),IFERROR(MATCH(Methode_Keuze,SubsidieTabel!$Q$1:$T$1,0),2))&lt;&gt;1=TRUE,"ja",""),"")</f>
        <v/>
      </c>
    </row>
    <row r="1999" spans="1:27" ht="15" customHeight="1" x14ac:dyDescent="0.25">
      <c r="A1999" s="85"/>
      <c r="B1999" s="217" t="str">
        <f>IF(A1999&lt;&gt;"",_xlfn.MAXIFS($B$1:B1998,$A$1:A1998,A1999)+1,"")</f>
        <v/>
      </c>
      <c r="C1999" s="50"/>
      <c r="D1999" s="50"/>
      <c r="E1999" s="50"/>
      <c r="F1999" s="50"/>
      <c r="G1999" s="280"/>
      <c r="H1999" s="293"/>
      <c r="I1999" s="292"/>
      <c r="J1999" s="292"/>
      <c r="K1999" s="200"/>
      <c r="L1999" s="200"/>
      <c r="M1999" s="89" t="str">
        <f>IFERROR(VLOOKUP(H1999,Lijsten!$H$1:$I$100,2,0),"")</f>
        <v/>
      </c>
      <c r="N1999" s="89" t="str" cm="1">
        <f t="array" ref="N1999">IFERROR(_xlfn.IFS(AND(LEFT(F1999,6)="Arbeid",RIGHT(F1999,3)&lt;&gt;"IKS"),IFERROR(VLOOKUP($G1999,Tb_KostenTypen[],2,0),"tarief"),RIGHT(F1999,3)="IKS","Uurtarief",LEFT(F1999,6)="Arbeid","Uurtarief",AND(LEFT(F1999,8)="Bijdrage",RIGHT(F1999,15)="(vrijwilligers)"),"Vast tarief"),"")</f>
        <v/>
      </c>
      <c r="O1999" s="90"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0"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1"/>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59"/>
      <c r="Z1999" s="49"/>
      <c r="AA1999" s="37" t="str" cm="1">
        <f t="array" ref="AA1999">IFERROR(IF(INDEX(SubsidieTabel!$Q$1:$T$9,MATCH($F1999,SubsidieTabel!$Q$1:$Q$9,0),IFERROR(MATCH(Methode_Keuze,SubsidieTabel!$Q$1:$T$1,0),2))&lt;&gt;1=TRUE,"ja",""),"")</f>
        <v/>
      </c>
    </row>
    <row r="2000" spans="1:27" ht="15" customHeight="1" x14ac:dyDescent="0.25">
      <c r="A2000" s="85"/>
      <c r="B2000" s="217" t="str">
        <f>IF(A2000&lt;&gt;"",_xlfn.MAXIFS($B$1:B1999,$A$1:A1999,A2000)+1,"")</f>
        <v/>
      </c>
      <c r="C2000" s="50"/>
      <c r="D2000" s="50"/>
      <c r="E2000" s="50"/>
      <c r="F2000" s="50"/>
      <c r="G2000" s="280"/>
      <c r="H2000" s="293"/>
      <c r="I2000" s="292"/>
      <c r="J2000" s="292"/>
      <c r="K2000" s="200"/>
      <c r="L2000" s="200"/>
      <c r="M2000" s="89" t="str">
        <f>IFERROR(VLOOKUP(H2000,Lijsten!$H$1:$I$100,2,0),"")</f>
        <v/>
      </c>
      <c r="N2000" s="89" t="str" cm="1">
        <f t="array" ref="N2000">IFERROR(_xlfn.IFS(AND(LEFT(F2000,6)="Arbeid",RIGHT(F2000,3)&lt;&gt;"IKS"),IFERROR(VLOOKUP($G2000,Tb_KostenTypen[],2,0),"tarief"),RIGHT(F2000,3)="IKS","Uurtarief",LEFT(F2000,6)="Arbeid","Uurtarief",AND(LEFT(F2000,8)="Bijdrage",RIGHT(F2000,15)="(vrijwilligers)"),"Vast tarief"),"")</f>
        <v/>
      </c>
      <c r="O2000" s="90"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0"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1"/>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59"/>
      <c r="Z2000" s="49"/>
      <c r="AA2000" s="37" t="str" cm="1">
        <f t="array" ref="AA2000">IFERROR(IF(INDEX(SubsidieTabel!$Q$1:$T$9,MATCH($F2000,SubsidieTabel!$Q$1:$Q$9,0),IFERROR(MATCH(Methode_Keuze,SubsidieTabel!$Q$1:$T$1,0),2))&lt;&gt;1=TRUE,"ja",""),"")</f>
        <v/>
      </c>
    </row>
    <row r="2001" spans="1:27" ht="15" customHeight="1" x14ac:dyDescent="0.25">
      <c r="A2001" s="85"/>
      <c r="B2001" s="217" t="str">
        <f>IF(A2001&lt;&gt;"",_xlfn.MAXIFS($B$1:B2000,$A$1:A2000,A2001)+1,"")</f>
        <v/>
      </c>
      <c r="C2001" s="50"/>
      <c r="D2001" s="50"/>
      <c r="E2001" s="50"/>
      <c r="F2001" s="50"/>
      <c r="G2001" s="280"/>
      <c r="H2001" s="293"/>
      <c r="I2001" s="292"/>
      <c r="J2001" s="292"/>
      <c r="K2001" s="200"/>
      <c r="L2001" s="200"/>
      <c r="M2001" s="89" t="str">
        <f>IFERROR(VLOOKUP(H2001,Lijsten!$H$1:$I$100,2,0),"")</f>
        <v/>
      </c>
      <c r="N2001" s="89" t="str" cm="1">
        <f t="array" ref="N2001">IFERROR(_xlfn.IFS(AND(LEFT(F2001,6)="Arbeid",RIGHT(F2001,3)&lt;&gt;"IKS"),IFERROR(VLOOKUP($G2001,Tb_KostenTypen[],2,0),"tarief"),RIGHT(F2001,3)="IKS","Uurtarief",LEFT(F2001,6)="Arbeid","Uurtarief",AND(LEFT(F2001,8)="Bijdrage",RIGHT(F2001,15)="(vrijwilligers)"),"Vast tarief"),"")</f>
        <v/>
      </c>
      <c r="O2001" s="90"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0"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1"/>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59"/>
      <c r="Z2001" s="49"/>
      <c r="AA2001" s="37" t="str" cm="1">
        <f t="array" ref="AA2001">IFERROR(IF(INDEX(SubsidieTabel!$Q$1:$T$9,MATCH($F2001,SubsidieTabel!$Q$1:$Q$9,0),IFERROR(MATCH(Methode_Keuze,SubsidieTabel!$Q$1:$T$1,0),2))&lt;&gt;1=TRUE,"ja",""),"")</f>
        <v/>
      </c>
    </row>
    <row r="2002" spans="1:27" ht="15" customHeight="1" x14ac:dyDescent="0.25">
      <c r="C2002" s="36"/>
    </row>
  </sheetData>
  <sheetProtection algorithmName="SHA-512" hashValue="xm90vmmFNSfaja7qGkjfweNWF0LyGzt+4pxZ/Wmlv6hQePlu9WldsH4gL8GAwm5BLf2acmzp1PIUkqGbO61Z3g==" saltValue="lvnSL9LiMACaapl3hU9lOQ==" spinCount="100000" sheet="1" formatCells="0" autoFilter="0"/>
  <phoneticPr fontId="3" type="noConversion"/>
  <conditionalFormatting sqref="A2:A2001">
    <cfRule type="expression" dxfId="25" priority="110">
      <formula>AND($A2="",$U2&gt;0,$U2&lt;&gt;"")</formula>
    </cfRule>
  </conditionalFormatting>
  <conditionalFormatting sqref="D2:E2001">
    <cfRule type="expression" dxfId="24" priority="108">
      <formula>AND($V2&lt;&gt;"",$V2&lt;&gt;0,$E2="")</formula>
    </cfRule>
  </conditionalFormatting>
  <conditionalFormatting sqref="G2:G2001">
    <cfRule type="expression" dxfId="22" priority="7">
      <formula>$F2="Arbeidskosten"</formula>
    </cfRule>
  </conditionalFormatting>
  <conditionalFormatting sqref="H2:H2001">
    <cfRule type="expression" dxfId="21" priority="9">
      <formula>OR(AND($F2&lt;&gt;"",$F2&lt;&gt;"Arbeidskosten"),AND($G2&lt;&gt;"",$F2="Arbeidskosten"))</formula>
    </cfRule>
  </conditionalFormatting>
  <conditionalFormatting sqref="H2:L2001">
    <cfRule type="expression" dxfId="20" priority="3" stopIfTrue="1">
      <formula>$F2=""</formula>
    </cfRule>
  </conditionalFormatting>
  <conditionalFormatting sqref="I2:L2001">
    <cfRule type="expression" dxfId="19" priority="11" stopIfTrue="1">
      <formula>AND(RIGHT($N2,6)&lt;&gt;"tarief",RIGHT($F2,3)&lt;&gt;"btw")</formula>
    </cfRule>
    <cfRule type="expression" dxfId="18" priority="16" stopIfTrue="1">
      <formula>AND($N2="",$F2&lt;&gt;"btw")</formula>
    </cfRule>
  </conditionalFormatting>
  <conditionalFormatting sqref="K2:K2001">
    <cfRule type="expression" dxfId="17" priority="4" stopIfTrue="1">
      <formula>AND($K2&lt;&gt;"",Keuze_OntvangstDatum&lt;&gt;"",$K2+365&lt;Keuze_OntvangstDatum)</formula>
    </cfRule>
    <cfRule type="expression" dxfId="16" priority="10" stopIfTrue="1">
      <formula>AND($K2&lt;&gt;"",OR(AND(Keuze_OntvangstDatum&lt;&gt;"",$K2&lt;Keuze_OntvangstDatum),AND(Keuze_OntvangstDatum&lt;&gt;"",$K2&gt;Keuze_EindDatum)))</formula>
    </cfRule>
  </conditionalFormatting>
  <conditionalFormatting sqref="M2:M2001">
    <cfRule type="expression" dxfId="15" priority="93" stopIfTrue="1">
      <formula>OR(LEFT($N2,4)="Vast",$N2="tarief",$H$2="Eigen arbeid")</formula>
    </cfRule>
  </conditionalFormatting>
  <conditionalFormatting sqref="M2:R2001">
    <cfRule type="expression" dxfId="14" priority="13" stopIfTrue="1">
      <formula>OR($F2="",RIGHT($N2,6)&lt;&gt;"tarief")</formula>
    </cfRule>
  </conditionalFormatting>
  <conditionalFormatting sqref="O2:P2001">
    <cfRule type="expression" dxfId="12" priority="107" stopIfTrue="1">
      <formula>$T2="Dit kostentype hoeft u niet op te geven. Hiervoor wordt een forfait berekend."</formula>
    </cfRule>
  </conditionalFormatting>
  <conditionalFormatting sqref="S2:T2001">
    <cfRule type="expression" dxfId="11" priority="90" stopIfTrue="1">
      <formula>OR($F2="",RIGHT($N2,6)="tarief")</formula>
    </cfRule>
  </conditionalFormatting>
  <conditionalFormatting sqref="Y2:Y2001">
    <cfRule type="expression" dxfId="10" priority="1">
      <formula>AND($Q2&lt;&gt;"",$Q2&lt;&gt;0,$C2="")</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31496062992125984" right="0.31496062992125984" top="0.15748031496062992" bottom="0.35433070866141736" header="0.11811023622047245" footer="0.11811023622047245"/>
  <pageSetup paperSize="9" scale="60" orientation="landscape" r:id="rId1"/>
  <headerFooter>
    <oddFooter>&amp;L&amp;F  &amp;C&amp;A&amp;R&amp;P van &amp;N</oddFooter>
  </headerFooter>
  <rowBreaks count="1" manualBreakCount="1">
    <brk id="51" max="24" man="1"/>
  </rowBreaks>
  <colBreaks count="1" manualBreakCount="1">
    <brk id="8" max="2000" man="1"/>
  </colBreaks>
  <extLst>
    <ext xmlns:x14="http://schemas.microsoft.com/office/spreadsheetml/2009/9/main" uri="{78C0D931-6437-407d-A8EE-F0AAD7539E65}">
      <x14:conditionalFormattings>
        <x14:conditionalFormatting xmlns:xm="http://schemas.microsoft.com/office/excel/2006/main">
          <x14:cfRule type="expression" priority="112"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61"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sheetPr>
  <dimension ref="A1:N41"/>
  <sheetViews>
    <sheetView showGridLines="0" zoomScaleNormal="100" workbookViewId="0">
      <selection activeCell="A2" sqref="A2"/>
    </sheetView>
  </sheetViews>
  <sheetFormatPr defaultColWidth="0" defaultRowHeight="15" customHeight="1" zeroHeight="1" x14ac:dyDescent="0.25"/>
  <cols>
    <col min="1" max="1" width="2.85546875" style="37" customWidth="1"/>
    <col min="2" max="2" width="61.7109375" style="37" customWidth="1"/>
    <col min="3" max="3" width="22" style="37" bestFit="1" customWidth="1"/>
    <col min="4" max="4" width="22.140625" style="37" bestFit="1" customWidth="1"/>
    <col min="5" max="10" width="28.7109375" style="37" customWidth="1"/>
    <col min="11" max="11" width="3.140625" style="37" customWidth="1"/>
    <col min="12" max="12" width="3.85546875" style="37" hidden="1" customWidth="1"/>
    <col min="13" max="14" width="0" style="37" hidden="1" customWidth="1"/>
    <col min="15" max="16384" width="9.140625" style="37" hidden="1"/>
  </cols>
  <sheetData>
    <row r="1" spans="2:14" ht="3" customHeight="1" x14ac:dyDescent="0.25">
      <c r="B1" s="55"/>
      <c r="C1" s="55"/>
      <c r="D1" s="56"/>
    </row>
    <row r="2" spans="2:14" ht="28.5" customHeight="1" x14ac:dyDescent="0.25">
      <c r="B2" s="24" t="s">
        <v>77</v>
      </c>
      <c r="C2" s="387" t="str">
        <f>IF('1. Aanvraaggegevens'!C2&lt;&gt;"",'1. Aanvraaggegevens'!C2,"")</f>
        <v/>
      </c>
      <c r="D2" s="388"/>
      <c r="E2" s="389"/>
    </row>
    <row r="3" spans="2:14" ht="15" customHeight="1" x14ac:dyDescent="0.25">
      <c r="B3" s="24" t="s">
        <v>16</v>
      </c>
      <c r="C3" s="390" t="str">
        <f>IF('1. Aanvraaggegevens'!C3&lt;&gt;"",'1. Aanvraaggegevens'!C3,"")</f>
        <v/>
      </c>
      <c r="D3" s="391"/>
      <c r="E3" s="392"/>
    </row>
    <row r="4" spans="2:14" ht="15" customHeight="1" x14ac:dyDescent="0.25">
      <c r="B4" s="24" t="s">
        <v>17</v>
      </c>
      <c r="C4" s="390" t="str">
        <f>IF('1. Aanvraaggegevens'!C4&lt;&gt;"",'1. Aanvraaggegevens'!C4,"")</f>
        <v/>
      </c>
      <c r="D4" s="391"/>
      <c r="E4" s="392"/>
    </row>
    <row r="5" spans="2:14" ht="15" customHeight="1" x14ac:dyDescent="0.25">
      <c r="B5" s="24" t="s">
        <v>18</v>
      </c>
      <c r="C5" s="390" t="str">
        <f>IF('1. Aanvraaggegevens'!C5&lt;&gt;"",'1. Aanvraaggegevens'!C5,"")</f>
        <v/>
      </c>
      <c r="D5" s="391"/>
      <c r="E5" s="392"/>
    </row>
    <row r="6" spans="2:14" ht="15" customHeight="1" x14ac:dyDescent="0.25">
      <c r="B6" s="6"/>
      <c r="C6" s="393" t="str">
        <f>IF('1. Aanvraaggegevens'!C6&lt;&gt;"",'1. Aanvraaggegevens'!C6,"")</f>
        <v/>
      </c>
      <c r="D6" s="394"/>
      <c r="E6" s="395"/>
    </row>
    <row r="7" spans="2:14" ht="3" customHeight="1" x14ac:dyDescent="0.25">
      <c r="B7" s="55"/>
      <c r="C7" s="55"/>
      <c r="D7" s="56"/>
      <c r="E7" s="38"/>
    </row>
    <row r="8" spans="2:14" ht="15" customHeight="1" x14ac:dyDescent="0.25">
      <c r="B8" s="209" t="s">
        <v>116</v>
      </c>
      <c r="C8" s="396" t="str">
        <f>IF('1. Aanvraaggegevens'!C8&lt;&gt;"",'1. Aanvraaggegevens'!C8,"")</f>
        <v/>
      </c>
      <c r="D8" s="397"/>
      <c r="E8" s="398"/>
    </row>
    <row r="9" spans="2:14" ht="3" customHeight="1" x14ac:dyDescent="0.25">
      <c r="B9" s="55"/>
      <c r="C9" s="55"/>
      <c r="D9" s="56"/>
    </row>
    <row r="10" spans="2:14" ht="15" customHeight="1" x14ac:dyDescent="0.25">
      <c r="B10" s="94" t="s">
        <v>167</v>
      </c>
      <c r="C10" s="378"/>
      <c r="D10" s="379"/>
      <c r="E10" s="380"/>
    </row>
    <row r="11" spans="2:14" ht="15" customHeight="1" x14ac:dyDescent="0.25">
      <c r="B11" s="94" t="s">
        <v>259</v>
      </c>
      <c r="C11" s="381"/>
      <c r="D11" s="382"/>
      <c r="E11" s="383"/>
    </row>
    <row r="12" spans="2:14" ht="15" customHeight="1" x14ac:dyDescent="0.25">
      <c r="B12" s="94" t="s">
        <v>124</v>
      </c>
      <c r="C12" s="384"/>
      <c r="D12" s="385"/>
      <c r="E12" s="386"/>
    </row>
    <row r="13" spans="2:14" ht="15" customHeight="1" x14ac:dyDescent="0.25">
      <c r="B13" s="94" t="s">
        <v>115</v>
      </c>
      <c r="C13" s="381"/>
      <c r="D13" s="382"/>
      <c r="E13" s="383"/>
    </row>
    <row r="14" spans="2:14" ht="21.75" customHeight="1" x14ac:dyDescent="0.25">
      <c r="B14" s="55"/>
      <c r="C14" s="55"/>
      <c r="D14" s="56"/>
      <c r="E14" s="249" t="str">
        <f>IF(Keuze_DB_Nr&lt;&gt;"","Totale uitgaven huidig betaalverzoek per subsidiabele activiteit --&gt;", "")</f>
        <v/>
      </c>
    </row>
    <row r="15" spans="2:14" ht="45" customHeight="1" x14ac:dyDescent="0.25">
      <c r="B15" s="226" t="s">
        <v>0</v>
      </c>
      <c r="C15" s="230" t="s">
        <v>260</v>
      </c>
      <c r="D15" s="230" t="str">
        <f>"Totale uitgaven huidig betaalverzoek ("&amp;Keuze_DB_Nr&amp;")"</f>
        <v>Totale uitgaven huidig betaalverzoek ()</v>
      </c>
      <c r="E15" s="225" t="str" cm="1">
        <f t="array" aca="1" ref="E15" ca="1">TRANSPOSE(Activiteiten_Uniek_DB)</f>
        <v/>
      </c>
      <c r="F15" s="225"/>
      <c r="G15" s="225"/>
      <c r="H15" s="225"/>
      <c r="I15" s="225"/>
      <c r="J15" s="225"/>
      <c r="M15" s="250" t="s">
        <v>95</v>
      </c>
      <c r="N15" s="250" t="s">
        <v>144</v>
      </c>
    </row>
    <row r="16" spans="2:14" ht="15" customHeight="1" x14ac:dyDescent="0.25">
      <c r="B16" s="299" t="s">
        <v>8</v>
      </c>
      <c r="C16" s="124">
        <f>SUMIFS('8. Uitgaven betaalverzoek'!U:U,'8. Uitgaven betaalverzoek'!F:F,B16,'8. Uitgaven betaalverzoek'!A:A,"&lt;&gt;""")</f>
        <v>0</v>
      </c>
      <c r="D16" s="124">
        <f ca="1">SUMIF(Tb_DBKosten[],B16,Tb_DBKosten[Deelbetaling_Aanvraag])</f>
        <v>0</v>
      </c>
      <c r="E16" s="123" t="str">
        <f ca="1">IF(AND($C16&lt;&gt;0,E$15&lt;&gt;""),IF(Keuze_DB_Nr&lt;&gt;"",SUMIFS(SubsidieTabel_DB!$L:$L,SubsidieTabel_DB!$A:$A,E$15,SubsidieTabel_DB!$B:$B,$B16),""),"")</f>
        <v/>
      </c>
      <c r="F16" s="123" t="str">
        <f>IF(AND($C16&lt;&gt;0,F$15&lt;&gt;""),IF(Keuze_DB_Nr&lt;&gt;"",SUMIFS(SubsidieTabel_DB!$L:$L,SubsidieTabel_DB!$A:$A,F$15,SubsidieTabel_DB!$B:$B,$B16),""),"")</f>
        <v/>
      </c>
      <c r="G16" s="123" t="str">
        <f>IF(AND($C16&lt;&gt;0,G$15&lt;&gt;""),IF(Keuze_DB_Nr&lt;&gt;"",SUMIFS(SubsidieTabel_DB!$L:$L,SubsidieTabel_DB!$A:$A,G$15,SubsidieTabel_DB!$B:$B,$B16),""),"")</f>
        <v/>
      </c>
      <c r="H16" s="123" t="str">
        <f>IF(AND($C16&lt;&gt;0,H$15&lt;&gt;""),IF(Keuze_DB_Nr&lt;&gt;"",SUMIFS(SubsidieTabel_DB!$L:$L,SubsidieTabel_DB!$A:$A,H$15,SubsidieTabel_DB!$B:$B,$B16),""),"")</f>
        <v/>
      </c>
      <c r="I16" s="123" t="str">
        <f>IF(AND($C16&lt;&gt;0,I$15&lt;&gt;""),IF(Keuze_DB_Nr&lt;&gt;"",SUMIFS(SubsidieTabel_DB!$L:$L,SubsidieTabel_DB!$A:$A,I$15,SubsidieTabel_DB!$B:$B,$B16),""),"")</f>
        <v/>
      </c>
      <c r="J16" s="123" t="str">
        <f>IF(AND($C16&lt;&gt;0,J$15&lt;&gt;""),IF(Keuze_DB_Nr&lt;&gt;"",SUMIFS(SubsidieTabel_DB!$L:$L,SubsidieTabel_DB!$A:$A,J$15,SubsidieTabel_DB!$B:$B,$B16),""),"")</f>
        <v/>
      </c>
      <c r="M16" s="251">
        <f>SUMIF(Tb_ProjectKosten[Begroting],'6. Begrotingsoverzicht'!B11,Tb_ProjectKosten[Kosten_Beoordeeld])</f>
        <v>0</v>
      </c>
      <c r="N16" s="251">
        <f>'Beoordeeld begrotingsoverzicht'!E11</f>
        <v>0</v>
      </c>
    </row>
    <row r="17" spans="2:14" ht="15" customHeight="1" x14ac:dyDescent="0.25">
      <c r="B17" s="299" t="s">
        <v>91</v>
      </c>
      <c r="C17" s="124">
        <f>SUMIFS('8. Uitgaven betaalverzoek'!U:U,'8. Uitgaven betaalverzoek'!F:F,B17,'8. Uitgaven betaalverzoek'!A:A,"&lt;&gt;""")</f>
        <v>0</v>
      </c>
      <c r="D17" s="124">
        <f ca="1">SUMIF(Tb_DBKosten[],B17,Tb_DBKosten[Deelbetaling_Aanvraag])</f>
        <v>0</v>
      </c>
      <c r="E17" s="123" t="str">
        <f ca="1">IF(AND($C17&lt;&gt;0,E$15&lt;&gt;""),IF(Keuze_DB_Nr&lt;&gt;"",SUMIFS(SubsidieTabel_DB!$L:$L,SubsidieTabel_DB!$A:$A,E$15,SubsidieTabel_DB!$B:$B,$B17),""),"")</f>
        <v/>
      </c>
      <c r="F17" s="123" t="str">
        <f>IF(AND($C17&lt;&gt;0,F$15&lt;&gt;""),IF(Keuze_DB_Nr&lt;&gt;"",SUMIFS(SubsidieTabel_DB!$L:$L,SubsidieTabel_DB!$A:$A,F$15,SubsidieTabel_DB!$B:$B,$B17),""),"")</f>
        <v/>
      </c>
      <c r="G17" s="123" t="str">
        <f>IF(AND($C17&lt;&gt;0,G$15&lt;&gt;""),IF(Keuze_DB_Nr&lt;&gt;"",SUMIFS(SubsidieTabel_DB!$L:$L,SubsidieTabel_DB!$A:$A,G$15,SubsidieTabel_DB!$B:$B,$B17),""),"")</f>
        <v/>
      </c>
      <c r="H17" s="123" t="str">
        <f>IF(AND($C17&lt;&gt;0,H$15&lt;&gt;""),IF(Keuze_DB_Nr&lt;&gt;"",SUMIFS(SubsidieTabel_DB!$L:$L,SubsidieTabel_DB!$A:$A,H$15,SubsidieTabel_DB!$B:$B,$B17),""),"")</f>
        <v/>
      </c>
      <c r="I17" s="123" t="str">
        <f>IF(AND($C17&lt;&gt;0,I$15&lt;&gt;""),IF(Keuze_DB_Nr&lt;&gt;"",SUMIFS(SubsidieTabel_DB!$L:$L,SubsidieTabel_DB!$A:$A,I$15,SubsidieTabel_DB!$B:$B,$B17),""),"")</f>
        <v/>
      </c>
      <c r="J17" s="123" t="str">
        <f>IF(AND($C17&lt;&gt;0,J$15&lt;&gt;""),IF(Keuze_DB_Nr&lt;&gt;"",SUMIFS(SubsidieTabel_DB!$L:$L,SubsidieTabel_DB!$A:$A,J$15,SubsidieTabel_DB!$B:$B,$B17),""),"")</f>
        <v/>
      </c>
      <c r="M17" s="251">
        <f>SUMIF(Tb_ProjectKosten[Begroting],'6. Begrotingsoverzicht'!B12,Tb_ProjectKosten[Kosten_Beoordeeld])</f>
        <v>0</v>
      </c>
      <c r="N17" s="251">
        <f>'Beoordeeld begrotingsoverzicht'!E12</f>
        <v>0</v>
      </c>
    </row>
    <row r="18" spans="2:14" ht="15" customHeight="1" x14ac:dyDescent="0.25">
      <c r="B18" s="9" t="s">
        <v>28</v>
      </c>
      <c r="C18" s="124">
        <f>SUMIFS('8. Uitgaven betaalverzoek'!U:U,'8. Uitgaven betaalverzoek'!F:F,B18,'8. Uitgaven betaalverzoek'!A:A,"&lt;&gt;""")</f>
        <v>0</v>
      </c>
      <c r="D18" s="124">
        <f ca="1">SUMIF(Tb_DBKosten[],B18,Tb_DBKosten[Deelbetaling_Aanvraag])</f>
        <v>0</v>
      </c>
      <c r="E18" s="123" t="str">
        <f ca="1">IF(AND($C18&lt;&gt;0,E$15&lt;&gt;""),IF(Keuze_DB_Nr&lt;&gt;"",SUMIFS(SubsidieTabel_DB!$L:$L,SubsidieTabel_DB!$A:$A,E$15,SubsidieTabel_DB!$B:$B,$B18),""),"")</f>
        <v/>
      </c>
      <c r="F18" s="123" t="str">
        <f>IF(AND($C18&lt;&gt;0,F$15&lt;&gt;""),IF(Keuze_DB_Nr&lt;&gt;"",SUMIFS(SubsidieTabel_DB!$L:$L,SubsidieTabel_DB!$A:$A,F$15,SubsidieTabel_DB!$B:$B,$B18),""),"")</f>
        <v/>
      </c>
      <c r="G18" s="123" t="str">
        <f>IF(AND($C18&lt;&gt;0,G$15&lt;&gt;""),IF(Keuze_DB_Nr&lt;&gt;"",SUMIFS(SubsidieTabel_DB!$L:$L,SubsidieTabel_DB!$A:$A,G$15,SubsidieTabel_DB!$B:$B,$B18),""),"")</f>
        <v/>
      </c>
      <c r="H18" s="123" t="str">
        <f>IF(AND($C18&lt;&gt;0,H$15&lt;&gt;""),IF(Keuze_DB_Nr&lt;&gt;"",SUMIFS(SubsidieTabel_DB!$L:$L,SubsidieTabel_DB!$A:$A,H$15,SubsidieTabel_DB!$B:$B,$B18),""),"")</f>
        <v/>
      </c>
      <c r="I18" s="123" t="str">
        <f>IF(AND($C18&lt;&gt;0,I$15&lt;&gt;""),IF(Keuze_DB_Nr&lt;&gt;"",SUMIFS(SubsidieTabel_DB!$L:$L,SubsidieTabel_DB!$A:$A,I$15,SubsidieTabel_DB!$B:$B,$B18),""),"")</f>
        <v/>
      </c>
      <c r="J18" s="123" t="str">
        <f>IF(AND($C18&lt;&gt;0,J$15&lt;&gt;""),IF(Keuze_DB_Nr&lt;&gt;"",SUMIFS(SubsidieTabel_DB!$L:$L,SubsidieTabel_DB!$A:$A,J$15,SubsidieTabel_DB!$B:$B,$B18),""),"")</f>
        <v/>
      </c>
      <c r="M18" s="251">
        <f>SUMIF(Tb_ProjectKosten[Begroting],'6. Begrotingsoverzicht'!B13,Tb_ProjectKosten[Kosten_Beoordeeld])</f>
        <v>0</v>
      </c>
      <c r="N18" s="251">
        <f>'Beoordeeld begrotingsoverzicht'!E13</f>
        <v>0</v>
      </c>
    </row>
    <row r="19" spans="2:14" ht="15" customHeight="1" x14ac:dyDescent="0.25">
      <c r="B19" s="9" t="s">
        <v>11</v>
      </c>
      <c r="C19" s="124">
        <f>SUMIFS('8. Uitgaven betaalverzoek'!U:U,'8. Uitgaven betaalverzoek'!F:F,B19,'8. Uitgaven betaalverzoek'!A:A,"&lt;&gt;""")</f>
        <v>0</v>
      </c>
      <c r="D19" s="124">
        <f ca="1">SUMIF(Tb_DBKosten[],B19,Tb_DBKosten[Deelbetaling_Aanvraag])</f>
        <v>0</v>
      </c>
      <c r="E19" s="123" t="str">
        <f ca="1">IF(AND($C19&lt;&gt;0,E$15&lt;&gt;""),IF(Keuze_DB_Nr&lt;&gt;"",SUMIFS(SubsidieTabel_DB!$L:$L,SubsidieTabel_DB!$A:$A,E$15,SubsidieTabel_DB!$B:$B,$B19),""),"")</f>
        <v/>
      </c>
      <c r="F19" s="123" t="str">
        <f>IF(AND($C19&lt;&gt;0,F$15&lt;&gt;""),IF(Keuze_DB_Nr&lt;&gt;"",SUMIFS(SubsidieTabel_DB!$L:$L,SubsidieTabel_DB!$A:$A,F$15,SubsidieTabel_DB!$B:$B,$B19),""),"")</f>
        <v/>
      </c>
      <c r="G19" s="123" t="str">
        <f>IF(AND($C19&lt;&gt;0,G$15&lt;&gt;""),IF(Keuze_DB_Nr&lt;&gt;"",SUMIFS(SubsidieTabel_DB!$L:$L,SubsidieTabel_DB!$A:$A,G$15,SubsidieTabel_DB!$B:$B,$B19),""),"")</f>
        <v/>
      </c>
      <c r="H19" s="123" t="str">
        <f>IF(AND($C19&lt;&gt;0,H$15&lt;&gt;""),IF(Keuze_DB_Nr&lt;&gt;"",SUMIFS(SubsidieTabel_DB!$L:$L,SubsidieTabel_DB!$A:$A,H$15,SubsidieTabel_DB!$B:$B,$B19),""),"")</f>
        <v/>
      </c>
      <c r="I19" s="123" t="str">
        <f>IF(AND($C19&lt;&gt;0,I$15&lt;&gt;""),IF(Keuze_DB_Nr&lt;&gt;"",SUMIFS(SubsidieTabel_DB!$L:$L,SubsidieTabel_DB!$A:$A,I$15,SubsidieTabel_DB!$B:$B,$B19),""),"")</f>
        <v/>
      </c>
      <c r="J19" s="123" t="str">
        <f>IF(AND($C19&lt;&gt;0,J$15&lt;&gt;""),IF(Keuze_DB_Nr&lt;&gt;"",SUMIFS(SubsidieTabel_DB!$L:$L,SubsidieTabel_DB!$A:$A,J$15,SubsidieTabel_DB!$B:$B,$B19),""),"")</f>
        <v/>
      </c>
      <c r="M19" s="251">
        <f>SUMIF(Tb_ProjectKosten[Begroting],'6. Begrotingsoverzicht'!B14,Tb_ProjectKosten[Kosten_Beoordeeld])</f>
        <v>0</v>
      </c>
      <c r="N19" s="251">
        <f>'Beoordeeld begrotingsoverzicht'!E14</f>
        <v>0</v>
      </c>
    </row>
    <row r="20" spans="2:14" ht="15" customHeight="1" x14ac:dyDescent="0.25">
      <c r="B20" s="9" t="s">
        <v>106</v>
      </c>
      <c r="C20" s="124">
        <f>SUMIFS('8. Uitgaven betaalverzoek'!U:U,'8. Uitgaven betaalverzoek'!F:F,B20,'8. Uitgaven betaalverzoek'!A:A,"&lt;&gt;""")</f>
        <v>0</v>
      </c>
      <c r="D20" s="124">
        <f ca="1">SUMIF(Tb_DBKosten[],B20,Tb_DBKosten[Deelbetaling_Aanvraag])</f>
        <v>0</v>
      </c>
      <c r="E20" s="123" t="str">
        <f ca="1">IF(AND($C20&lt;&gt;0,E$15&lt;&gt;""),IF(Keuze_DB_Nr&lt;&gt;"",SUMIFS(SubsidieTabel_DB!$L:$L,SubsidieTabel_DB!$A:$A,E$15,SubsidieTabel_DB!$B:$B,$B20),""),"")</f>
        <v/>
      </c>
      <c r="F20" s="123" t="str">
        <f>IF(AND($C20&lt;&gt;0,F$15&lt;&gt;""),IF(Keuze_DB_Nr&lt;&gt;"",SUMIFS(SubsidieTabel_DB!$L:$L,SubsidieTabel_DB!$A:$A,F$15,SubsidieTabel_DB!$B:$B,$B20),""),"")</f>
        <v/>
      </c>
      <c r="G20" s="123" t="str">
        <f>IF(AND($C20&lt;&gt;0,G$15&lt;&gt;""),IF(Keuze_DB_Nr&lt;&gt;"",SUMIFS(SubsidieTabel_DB!$L:$L,SubsidieTabel_DB!$A:$A,G$15,SubsidieTabel_DB!$B:$B,$B20),""),"")</f>
        <v/>
      </c>
      <c r="H20" s="123" t="str">
        <f>IF(AND($C20&lt;&gt;0,H$15&lt;&gt;""),IF(Keuze_DB_Nr&lt;&gt;"",SUMIFS(SubsidieTabel_DB!$L:$L,SubsidieTabel_DB!$A:$A,H$15,SubsidieTabel_DB!$B:$B,$B20),""),"")</f>
        <v/>
      </c>
      <c r="I20" s="123" t="str">
        <f>IF(AND($C20&lt;&gt;0,I$15&lt;&gt;""),IF(Keuze_DB_Nr&lt;&gt;"",SUMIFS(SubsidieTabel_DB!$L:$L,SubsidieTabel_DB!$A:$A,I$15,SubsidieTabel_DB!$B:$B,$B20),""),"")</f>
        <v/>
      </c>
      <c r="J20" s="123" t="str">
        <f>IF(AND($C20&lt;&gt;0,J$15&lt;&gt;""),IF(Keuze_DB_Nr&lt;&gt;"",SUMIFS(SubsidieTabel_DB!$L:$L,SubsidieTabel_DB!$A:$A,J$15,SubsidieTabel_DB!$B:$B,$B20),""),"")</f>
        <v/>
      </c>
      <c r="M20" s="251">
        <f>SUMIF(Tb_ProjectKosten[Begroting],'6. Begrotingsoverzicht'!B15,Tb_ProjectKosten[Kosten_Beoordeeld])</f>
        <v>0</v>
      </c>
      <c r="N20" s="251">
        <f ca="1">'Beoordeeld begrotingsoverzicht'!E15</f>
        <v>0</v>
      </c>
    </row>
    <row r="21" spans="2:14" ht="15" customHeight="1" x14ac:dyDescent="0.25">
      <c r="B21" s="9" t="s">
        <v>107</v>
      </c>
      <c r="C21" s="124">
        <f>SUMIFS('8. Uitgaven betaalverzoek'!U:U,'8. Uitgaven betaalverzoek'!F:F,B21,'8. Uitgaven betaalverzoek'!A:A,"&lt;&gt;""")</f>
        <v>0</v>
      </c>
      <c r="D21" s="124">
        <f ca="1">SUMIF(Tb_DBKosten[],B21,Tb_DBKosten[Deelbetaling_Aanvraag])</f>
        <v>0</v>
      </c>
      <c r="E21" s="123" t="str">
        <f ca="1">IF(AND($C21&lt;&gt;0,E$15&lt;&gt;""),IF(Keuze_DB_Nr&lt;&gt;"",SUMIFS(SubsidieTabel_DB!$L:$L,SubsidieTabel_DB!$A:$A,E$15,SubsidieTabel_DB!$B:$B,$B21),""),"")</f>
        <v/>
      </c>
      <c r="F21" s="123" t="str">
        <f>IF(AND($C21&lt;&gt;0,F$15&lt;&gt;""),IF(Keuze_DB_Nr&lt;&gt;"",SUMIFS(SubsidieTabel_DB!$L:$L,SubsidieTabel_DB!$A:$A,F$15,SubsidieTabel_DB!$B:$B,$B21),""),"")</f>
        <v/>
      </c>
      <c r="G21" s="123" t="str">
        <f>IF(AND($C21&lt;&gt;0,G$15&lt;&gt;""),IF(Keuze_DB_Nr&lt;&gt;"",SUMIFS(SubsidieTabel_DB!$L:$L,SubsidieTabel_DB!$A:$A,G$15,SubsidieTabel_DB!$B:$B,$B21),""),"")</f>
        <v/>
      </c>
      <c r="H21" s="123" t="str">
        <f>IF(AND($C21&lt;&gt;0,H$15&lt;&gt;""),IF(Keuze_DB_Nr&lt;&gt;"",SUMIFS(SubsidieTabel_DB!$L:$L,SubsidieTabel_DB!$A:$A,H$15,SubsidieTabel_DB!$B:$B,$B21),""),"")</f>
        <v/>
      </c>
      <c r="I21" s="123" t="str">
        <f>IF(AND($C21&lt;&gt;0,I$15&lt;&gt;""),IF(Keuze_DB_Nr&lt;&gt;"",SUMIFS(SubsidieTabel_DB!$L:$L,SubsidieTabel_DB!$A:$A,I$15,SubsidieTabel_DB!$B:$B,$B21),""),"")</f>
        <v/>
      </c>
      <c r="J21" s="123" t="str">
        <f>IF(AND($C21&lt;&gt;0,J$15&lt;&gt;""),IF(Keuze_DB_Nr&lt;&gt;"",SUMIFS(SubsidieTabel_DB!$L:$L,SubsidieTabel_DB!$A:$A,J$15,SubsidieTabel_DB!$B:$B,$B21),""),"")</f>
        <v/>
      </c>
      <c r="M21" s="251">
        <f>SUMIF(Tb_ProjectKosten[Begroting],'6. Begrotingsoverzicht'!B16,Tb_ProjectKosten[Kosten_Beoordeeld])</f>
        <v>0</v>
      </c>
      <c r="N21" s="251">
        <f ca="1">'Beoordeeld begrotingsoverzicht'!E16</f>
        <v>0</v>
      </c>
    </row>
    <row r="22" spans="2:14" ht="15" customHeight="1" x14ac:dyDescent="0.25">
      <c r="B22" s="9" t="s">
        <v>3</v>
      </c>
      <c r="C22" s="124">
        <f>SUMIFS('8. Uitgaven betaalverzoek'!U:U,'8. Uitgaven betaalverzoek'!F:F,B22,'8. Uitgaven betaalverzoek'!A:A,"&lt;&gt;""")</f>
        <v>0</v>
      </c>
      <c r="D22" s="124">
        <f ca="1">SUMIF(Tb_DBKosten[],B22,Tb_DBKosten[Deelbetaling_Aanvraag])</f>
        <v>0</v>
      </c>
      <c r="E22" s="123" t="str">
        <f ca="1">IF(AND($C22&lt;&gt;0,E$15&lt;&gt;""),IF(Keuze_DB_Nr&lt;&gt;"",SUMIFS(SubsidieTabel_DB!$L:$L,SubsidieTabel_DB!$A:$A,E$15,SubsidieTabel_DB!$B:$B,$B22),""),"")</f>
        <v/>
      </c>
      <c r="F22" s="123" t="str">
        <f>IF(AND($C22&lt;&gt;0,F$15&lt;&gt;""),IF(Keuze_DB_Nr&lt;&gt;"",SUMIFS(SubsidieTabel_DB!$L:$L,SubsidieTabel_DB!$A:$A,F$15,SubsidieTabel_DB!$B:$B,$B22),""),"")</f>
        <v/>
      </c>
      <c r="G22" s="123" t="str">
        <f>IF(AND($C22&lt;&gt;0,G$15&lt;&gt;""),IF(Keuze_DB_Nr&lt;&gt;"",SUMIFS(SubsidieTabel_DB!$L:$L,SubsidieTabel_DB!$A:$A,G$15,SubsidieTabel_DB!$B:$B,$B22),""),"")</f>
        <v/>
      </c>
      <c r="H22" s="123" t="str">
        <f>IF(AND($C22&lt;&gt;0,H$15&lt;&gt;""),IF(Keuze_DB_Nr&lt;&gt;"",SUMIFS(SubsidieTabel_DB!$L:$L,SubsidieTabel_DB!$A:$A,H$15,SubsidieTabel_DB!$B:$B,$B22),""),"")</f>
        <v/>
      </c>
      <c r="I22" s="123" t="str">
        <f>IF(AND($C22&lt;&gt;0,I$15&lt;&gt;""),IF(Keuze_DB_Nr&lt;&gt;"",SUMIFS(SubsidieTabel_DB!$L:$L,SubsidieTabel_DB!$A:$A,I$15,SubsidieTabel_DB!$B:$B,$B22),""),"")</f>
        <v/>
      </c>
      <c r="J22" s="123" t="str">
        <f>IF(AND($C22&lt;&gt;0,J$15&lt;&gt;""),IF(Keuze_DB_Nr&lt;&gt;"",SUMIFS(SubsidieTabel_DB!$L:$L,SubsidieTabel_DB!$A:$A,J$15,SubsidieTabel_DB!$B:$B,$B22),""),"")</f>
        <v/>
      </c>
      <c r="M22" s="251">
        <f>SUMIF(Tb_ProjectKosten[Begroting],'6. Begrotingsoverzicht'!B17,Tb_ProjectKosten[Kosten_Beoordeeld])</f>
        <v>0</v>
      </c>
      <c r="N22" s="251">
        <f>'Beoordeeld begrotingsoverzicht'!E17</f>
        <v>0</v>
      </c>
    </row>
    <row r="23" spans="2:14" ht="15" customHeight="1" x14ac:dyDescent="0.25">
      <c r="B23" s="9" t="s">
        <v>27</v>
      </c>
      <c r="C23" s="124">
        <f>SUMIFS('8. Uitgaven betaalverzoek'!U:U,'8. Uitgaven betaalverzoek'!F:F,B23,'8. Uitgaven betaalverzoek'!A:A,"&lt;&gt;""")</f>
        <v>0</v>
      </c>
      <c r="D23" s="124">
        <f ca="1">SUMIF(Tb_DBKosten[],B23,Tb_DBKosten[Deelbetaling_Aanvraag])</f>
        <v>0</v>
      </c>
      <c r="E23" s="123" t="str">
        <f ca="1">IF(AND($C23&lt;&gt;0,E$15&lt;&gt;""),IF(Keuze_DB_Nr&lt;&gt;"",SUMIFS(SubsidieTabel_DB!$L:$L,SubsidieTabel_DB!$A:$A,E$15,SubsidieTabel_DB!$B:$B,$B23),""),"")</f>
        <v/>
      </c>
      <c r="F23" s="123" t="str">
        <f>IF(AND($C23&lt;&gt;0,F$15&lt;&gt;""),IF(Keuze_DB_Nr&lt;&gt;"",SUMIFS(SubsidieTabel_DB!$L:$L,SubsidieTabel_DB!$A:$A,F$15,SubsidieTabel_DB!$B:$B,$B23),""),"")</f>
        <v/>
      </c>
      <c r="G23" s="123" t="str">
        <f>IF(AND($C23&lt;&gt;0,G$15&lt;&gt;""),IF(Keuze_DB_Nr&lt;&gt;"",SUMIFS(SubsidieTabel_DB!$L:$L,SubsidieTabel_DB!$A:$A,G$15,SubsidieTabel_DB!$B:$B,$B23),""),"")</f>
        <v/>
      </c>
      <c r="H23" s="123" t="str">
        <f>IF(AND($C23&lt;&gt;0,H$15&lt;&gt;""),IF(Keuze_DB_Nr&lt;&gt;"",SUMIFS(SubsidieTabel_DB!$L:$L,SubsidieTabel_DB!$A:$A,H$15,SubsidieTabel_DB!$B:$B,$B23),""),"")</f>
        <v/>
      </c>
      <c r="I23" s="123" t="str">
        <f>IF(AND($C23&lt;&gt;0,I$15&lt;&gt;""),IF(Keuze_DB_Nr&lt;&gt;"",SUMIFS(SubsidieTabel_DB!$L:$L,SubsidieTabel_DB!$A:$A,I$15,SubsidieTabel_DB!$B:$B,$B23),""),"")</f>
        <v/>
      </c>
      <c r="J23" s="123" t="str">
        <f>IF(AND($C23&lt;&gt;0,J$15&lt;&gt;""),IF(Keuze_DB_Nr&lt;&gt;"",SUMIFS(SubsidieTabel_DB!$L:$L,SubsidieTabel_DB!$A:$A,J$15,SubsidieTabel_DB!$B:$B,$B23),""),"")</f>
        <v/>
      </c>
      <c r="M23" s="251">
        <f>SUMIF(Tb_ProjectKosten[Begroting],'6. Begrotingsoverzicht'!B18,Tb_ProjectKosten[Kosten_Beoordeeld])</f>
        <v>0</v>
      </c>
      <c r="N23" s="251">
        <f>'Beoordeeld begrotingsoverzicht'!E18</f>
        <v>0</v>
      </c>
    </row>
    <row r="24" spans="2:14" ht="15" customHeight="1" x14ac:dyDescent="0.25">
      <c r="B24" s="11" t="s">
        <v>114</v>
      </c>
      <c r="C24" s="195">
        <f>ROUND(SUM(C16:C23),2)</f>
        <v>0</v>
      </c>
      <c r="D24" s="196">
        <f ca="1">SUM(D16:D23)</f>
        <v>0</v>
      </c>
      <c r="E24" s="123" t="str">
        <f ca="1">IF(SUM(E16:E23)=0,"",SUM(E16:E23))</f>
        <v/>
      </c>
      <c r="F24" s="123" t="str">
        <f t="shared" ref="F24:J24" si="0">IF(SUM(F16:F23)=0,"",SUM(F16:F23))</f>
        <v/>
      </c>
      <c r="G24" s="123" t="str">
        <f t="shared" si="0"/>
        <v/>
      </c>
      <c r="H24" s="123" t="str">
        <f t="shared" si="0"/>
        <v/>
      </c>
      <c r="I24" s="123" t="str">
        <f t="shared" si="0"/>
        <v/>
      </c>
      <c r="J24" s="123" t="str">
        <f t="shared" si="0"/>
        <v/>
      </c>
      <c r="M24" s="251">
        <f>SUM(M16:M23)</f>
        <v>0</v>
      </c>
      <c r="N24" s="251">
        <f ca="1">ROUND(SUM(N16:N23),2)</f>
        <v>0</v>
      </c>
    </row>
    <row r="25" spans="2:14" s="38" customFormat="1" ht="15" customHeight="1" x14ac:dyDescent="0.25">
      <c r="B25" s="126" t="str" cm="1">
        <f t="array" ref="B25">_xlfn.IFS(OR($C$8="",$C$8="Geen vereenvoudigde kostenoptie"),"Geen forfait",$C$8="Vereenvoudigde kostenoptie voor overige kosten","Forfait voor overige kosten",$C$8="Vereenvoudigde kostenoptie voor arbeidskosten","Forfait voor arbeidskosten")</f>
        <v>Geen forfait</v>
      </c>
      <c r="C25" s="125" t="str">
        <f>IF(SUMIFS('8. Uitgaven betaalverzoek'!$W:$W,'8. Uitgaven betaalverzoek'!$A:$A,"&lt;&gt;""")&gt;0,SUMIFS('8. Uitgaven betaalverzoek'!$W:$W,'8. Uitgaven betaalverzoek'!$A:$A,"&lt;&gt;"""),"")</f>
        <v/>
      </c>
      <c r="D25" s="125" t="str">
        <f>IF(SUM(Tb_DBKosten[Forfait_Bedrag])&gt;0,SUM(Tb_DBKosten[Forfait_Bedrag]),"")</f>
        <v/>
      </c>
      <c r="E25" s="123" t="str">
        <f ca="1">IF(AND($C25&lt;&gt;"",E$15&lt;&gt;""),IF(Keuze_DB_Nr&lt;&gt;"",SUMIFS(SubsidieTabel_DB!$N:$N,SubsidieTabel_DB!$A:$A,E$15),""),"")</f>
        <v/>
      </c>
      <c r="F25" s="123" t="str">
        <f>IF(AND($C25&lt;&gt;"",F$15&lt;&gt;""),IF(Keuze_DB_Nr&lt;&gt;"",SUMIFS(SubsidieTabel_DB!$N:$N,SubsidieTabel_DB!$A:$A,F$15),""),"")</f>
        <v/>
      </c>
      <c r="G25" s="123" t="str">
        <f>IF(AND($C25&lt;&gt;"",G$15&lt;&gt;""),IF(Keuze_DB_Nr&lt;&gt;"",SUMIFS(SubsidieTabel_DB!$N:$N,SubsidieTabel_DB!$A:$A,G$15),""),"")</f>
        <v/>
      </c>
      <c r="H25" s="123" t="str">
        <f>IF(AND($C25&lt;&gt;"",H$15&lt;&gt;""),IF(Keuze_DB_Nr&lt;&gt;"",SUMIFS(SubsidieTabel_DB!$N:$N,SubsidieTabel_DB!$A:$A,H$15),""),"")</f>
        <v/>
      </c>
      <c r="I25" s="123" t="str">
        <f>IF(AND($C25&lt;&gt;"",I$15&lt;&gt;""),IF(Keuze_DB_Nr&lt;&gt;"",SUMIFS(SubsidieTabel_DB!$N:$N,SubsidieTabel_DB!$A:$A,I$15),""),"")</f>
        <v/>
      </c>
      <c r="J25" s="123" t="str">
        <f>IF(AND($C25&lt;&gt;"",J$15&lt;&gt;""),IF(Keuze_DB_Nr&lt;&gt;"",SUMIFS(SubsidieTabel_DB!$N:$N,SubsidieTabel_DB!$A:$A,J$15),""),"")</f>
        <v/>
      </c>
      <c r="M25" s="251" t="str">
        <f>IF(SUM(Tb_ProjectKosten[Forfait_Bedrag])&gt;0,SUM(Tb_ProjectKosten[Forfait_Bedrag_Beoordeeld]),"")</f>
        <v/>
      </c>
      <c r="N25" s="251" t="str">
        <f ca="1">'Beoordeeld begrotingsoverzicht'!E20</f>
        <v/>
      </c>
    </row>
    <row r="26" spans="2:14" s="38" customFormat="1" ht="15" customHeight="1" x14ac:dyDescent="0.25">
      <c r="B26" s="193" t="s">
        <v>88</v>
      </c>
      <c r="C26" s="197">
        <f>SUM(C24:C25)</f>
        <v>0</v>
      </c>
      <c r="D26" s="197">
        <f ca="1">SUM(D24:D25)</f>
        <v>0</v>
      </c>
      <c r="E26" s="224" t="str">
        <f ca="1">IF(SUM(E24:E25)=0,"",SUM(E24:E25))</f>
        <v/>
      </c>
      <c r="F26" s="224" t="str">
        <f t="shared" ref="F26:J26" si="1">IF(SUM(F24:F25)=0,"",SUM(F24:F25))</f>
        <v/>
      </c>
      <c r="G26" s="224" t="str">
        <f t="shared" si="1"/>
        <v/>
      </c>
      <c r="H26" s="224" t="str">
        <f t="shared" si="1"/>
        <v/>
      </c>
      <c r="I26" s="224" t="str">
        <f t="shared" si="1"/>
        <v/>
      </c>
      <c r="J26" s="224" t="str">
        <f t="shared" si="1"/>
        <v/>
      </c>
      <c r="M26" s="252">
        <f>SUM(M24:M25)</f>
        <v>0</v>
      </c>
      <c r="N26" s="252">
        <f ca="1">SUM(N24:N25)</f>
        <v>0</v>
      </c>
    </row>
    <row r="27" spans="2:14" s="38" customFormat="1" ht="6" customHeight="1" x14ac:dyDescent="0.25">
      <c r="B27" s="52"/>
    </row>
    <row r="28" spans="2:14" s="38" customFormat="1" ht="6" customHeight="1" x14ac:dyDescent="0.25">
      <c r="B28" s="52"/>
      <c r="C28" s="54"/>
      <c r="D28" s="199"/>
    </row>
    <row r="29" spans="2:14" ht="6" customHeight="1" x14ac:dyDescent="0.25">
      <c r="B29" s="55"/>
      <c r="C29" s="55"/>
      <c r="D29" s="56"/>
    </row>
    <row r="30" spans="2:14" s="38" customFormat="1" ht="15" customHeight="1" x14ac:dyDescent="0.25">
      <c r="B30" s="113" t="s">
        <v>166</v>
      </c>
      <c r="C30" s="113" t="s">
        <v>171</v>
      </c>
      <c r="D30" s="113" t="s">
        <v>1</v>
      </c>
      <c r="E30" s="113" t="s">
        <v>144</v>
      </c>
    </row>
    <row r="31" spans="2:14" ht="15" customHeight="1" x14ac:dyDescent="0.25">
      <c r="B31" s="107" t="str" cm="1">
        <f t="array" aca="1" ref="B31" ca="1">Activiteiten_Uniek_DB</f>
        <v/>
      </c>
      <c r="C31" s="108" t="str">
        <f ca="1">IF(B31&lt;&gt;"",SUMIFS(SubsidieTabel_DB!$L:$L,SubsidieTabel_DB!$A:$A,B31)+SUMIFS(SubsidieTabel_DB!$N:$N,SubsidieTabel_DB!$A:$A,B31),"")</f>
        <v/>
      </c>
      <c r="D31" s="109" t="str">
        <f ca="1">IFERROR(VLOOKUP(B31,Lijsten!$AD:$AE,2,0),"")</f>
        <v/>
      </c>
      <c r="E31" s="108" t="str">
        <f ca="1">IF(PRODUCT(C31,D31)&lt;&gt;0,PRODUCT(C31,D31),"")</f>
        <v/>
      </c>
    </row>
    <row r="32" spans="2:14" ht="15" customHeight="1" x14ac:dyDescent="0.25">
      <c r="B32" s="107"/>
      <c r="C32" s="108" t="str">
        <f>IF(B32&lt;&gt;"",SUMIFS(SubsidieTabel_DB!$L:$L,SubsidieTabel_DB!$A:$A,B32)+SUMIFS(SubsidieTabel_DB!$N:$N,SubsidieTabel_DB!$A:$A,B32),"")</f>
        <v/>
      </c>
      <c r="D32" s="109" t="str">
        <f>IFERROR(VLOOKUP(B32,Lijsten!$AD:$AE,2,0),"")</f>
        <v/>
      </c>
      <c r="E32" s="108" t="str">
        <f t="shared" ref="E32:E38" si="2">IF(PRODUCT(C32,D32)&lt;&gt;0,PRODUCT(C32,D32),"")</f>
        <v/>
      </c>
    </row>
    <row r="33" spans="2:6" ht="15" customHeight="1" x14ac:dyDescent="0.25">
      <c r="B33" s="107"/>
      <c r="C33" s="108" t="str">
        <f>IF(B33&lt;&gt;"",SUMIFS(SubsidieTabel_DB!$L:$L,SubsidieTabel_DB!$A:$A,B33)+SUMIFS(SubsidieTabel_DB!$N:$N,SubsidieTabel_DB!$A:$A,B33),"")</f>
        <v/>
      </c>
      <c r="D33" s="109" t="str">
        <f>IFERROR(VLOOKUP(B33,Lijsten!$AD:$AE,2,0),"")</f>
        <v/>
      </c>
      <c r="E33" s="108" t="str">
        <f t="shared" si="2"/>
        <v/>
      </c>
    </row>
    <row r="34" spans="2:6" ht="15" customHeight="1" x14ac:dyDescent="0.25">
      <c r="B34" s="107"/>
      <c r="C34" s="108" t="str">
        <f>IF(B34&lt;&gt;"",SUMIFS(SubsidieTabel_DB!$L:$L,SubsidieTabel_DB!$A:$A,B34)+SUMIFS(SubsidieTabel_DB!$N:$N,SubsidieTabel_DB!$A:$A,B34),"")</f>
        <v/>
      </c>
      <c r="D34" s="109" t="str">
        <f>IFERROR(VLOOKUP(B34,Lijsten!$AD:$AE,2,0),"")</f>
        <v/>
      </c>
      <c r="E34" s="108" t="str">
        <f t="shared" si="2"/>
        <v/>
      </c>
    </row>
    <row r="35" spans="2:6" ht="15" customHeight="1" x14ac:dyDescent="0.25">
      <c r="B35" s="107"/>
      <c r="C35" s="108" t="str">
        <f>IF(B35&lt;&gt;"",SUMIFS(SubsidieTabel_DB!$L:$L,SubsidieTabel_DB!$A:$A,B35)+SUMIFS(SubsidieTabel_DB!$N:$N,SubsidieTabel_DB!$A:$A,B35),"")</f>
        <v/>
      </c>
      <c r="D35" s="109" t="str">
        <f>IFERROR(VLOOKUP(B35,Lijsten!$AD:$AE,2,0),"")</f>
        <v/>
      </c>
      <c r="E35" s="108" t="str">
        <f t="shared" si="2"/>
        <v/>
      </c>
    </row>
    <row r="36" spans="2:6" ht="15" customHeight="1" x14ac:dyDescent="0.25">
      <c r="B36" s="107"/>
      <c r="C36" s="108" t="str">
        <f>IF(B36&lt;&gt;"",SUMIFS(SubsidieTabel_DB!$L:$L,SubsidieTabel_DB!$A:$A,B36)+SUMIFS(SubsidieTabel_DB!$N:$N,SubsidieTabel_DB!$A:$A,B36),"")</f>
        <v/>
      </c>
      <c r="D36" s="109" t="str">
        <f>IFERROR(VLOOKUP(B36,Lijsten!$AD:$AE,2,0),"")</f>
        <v/>
      </c>
      <c r="E36" s="108" t="str">
        <f t="shared" si="2"/>
        <v/>
      </c>
    </row>
    <row r="37" spans="2:6" ht="15" customHeight="1" x14ac:dyDescent="0.25">
      <c r="B37" s="107"/>
      <c r="C37" s="108" t="str">
        <f>IF(B37&lt;&gt;"",SUMIFS(SubsidieTabel_DB!$L:$L,SubsidieTabel_DB!$A:$A,B37)+SUMIFS(SubsidieTabel_DB!$N:$N,SubsidieTabel_DB!$A:$A,B37),"")</f>
        <v/>
      </c>
      <c r="D37" s="109" t="str">
        <f>IFERROR(VLOOKUP(B37,Lijsten!$AD:$AE,2,0),"")</f>
        <v/>
      </c>
      <c r="E37" s="108" t="str">
        <f t="shared" si="2"/>
        <v/>
      </c>
    </row>
    <row r="38" spans="2:6" ht="15" customHeight="1" x14ac:dyDescent="0.25">
      <c r="B38" s="107"/>
      <c r="C38" s="108" t="str">
        <f>IF(B38&lt;&gt;"",SUMIFS(SubsidieTabel_DB!$L:$L,SubsidieTabel_DB!$A:$A,B38)+SUMIFS(SubsidieTabel_DB!$N:$N,SubsidieTabel_DB!$A:$A,B38),"")</f>
        <v/>
      </c>
      <c r="D38" s="109" t="str">
        <f>IFERROR(VLOOKUP(B38,Lijsten!$AD:$AE,2,0),"")</f>
        <v/>
      </c>
      <c r="E38" s="108" t="str">
        <f t="shared" si="2"/>
        <v/>
      </c>
    </row>
    <row r="39" spans="2:6" ht="15" customHeight="1" x14ac:dyDescent="0.25">
      <c r="B39" s="113"/>
      <c r="C39" s="113"/>
      <c r="D39" s="113"/>
      <c r="E39" s="113"/>
    </row>
    <row r="40" spans="2:6" ht="15" customHeight="1" x14ac:dyDescent="0.25">
      <c r="D40" s="130" t="s">
        <v>145</v>
      </c>
      <c r="E40" s="108">
        <f ca="1">IFERROR(SUMPRODUCT(D31:D38,C31:C38),0)</f>
        <v>0</v>
      </c>
      <c r="F40" s="37" t="s">
        <v>218</v>
      </c>
    </row>
    <row r="41" spans="2:6" ht="15" customHeight="1" x14ac:dyDescent="0.25"/>
  </sheetData>
  <sheetProtection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 priority="4">
      <formula>E15&lt;&gt;""</formula>
    </cfRule>
  </conditionalFormatting>
  <conditionalFormatting sqref="E16:J23 E25:J25">
    <cfRule type="expression" dxfId="8" priority="1">
      <formula>E16&lt;&gt;""</formula>
    </cfRule>
  </conditionalFormatting>
  <conditionalFormatting sqref="E24:J24">
    <cfRule type="expression" dxfId="7" priority="2">
      <formula>E24&lt;&gt;""</formula>
    </cfRule>
  </conditionalFormatting>
  <conditionalFormatting sqref="E26:J26">
    <cfRule type="expression" dxfId="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31496062992125984" right="0.31496062992125984" top="0.74803149606299213" bottom="0.74803149606299213" header="0.31496062992125984" footer="0.31496062992125984"/>
  <pageSetup paperSize="9" scale="60" orientation="landscape" r:id="rId1"/>
  <headerFooter>
    <oddFooter>&amp;L&amp;F&amp;C&amp;A&amp;R&amp;P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5" zeroHeight="1" x14ac:dyDescent="0.25"/>
  <cols>
    <col min="1" max="1" width="2.85546875" style="37" customWidth="1"/>
    <col min="2" max="2" width="61.7109375" style="37" customWidth="1"/>
    <col min="3" max="3" width="27.5703125" style="37" bestFit="1" customWidth="1"/>
    <col min="4" max="4" width="22.140625" style="37" bestFit="1" customWidth="1"/>
    <col min="5" max="5" width="20.7109375" style="37" customWidth="1"/>
    <col min="6" max="6" width="20.5703125" style="37" customWidth="1"/>
    <col min="7" max="7" width="27.85546875" style="37" bestFit="1" customWidth="1"/>
    <col min="8" max="13" width="27.85546875" style="37" customWidth="1"/>
    <col min="14" max="16384" width="9.140625" style="37" hidden="1"/>
  </cols>
  <sheetData>
    <row r="1" spans="1:14" ht="3" customHeight="1" x14ac:dyDescent="0.25">
      <c r="A1" s="52"/>
      <c r="B1" s="55"/>
      <c r="C1" s="55"/>
      <c r="D1" s="56"/>
      <c r="F1" s="52"/>
      <c r="G1" s="52"/>
      <c r="H1" s="52"/>
      <c r="I1" s="52"/>
      <c r="J1" s="52"/>
      <c r="K1" s="52"/>
      <c r="L1" s="52"/>
      <c r="M1" s="52"/>
    </row>
    <row r="2" spans="1:14" ht="28.5" customHeight="1" x14ac:dyDescent="0.25">
      <c r="A2" s="52"/>
      <c r="B2" s="24" t="s">
        <v>77</v>
      </c>
      <c r="C2" s="387" t="str">
        <f>IF('1. Aanvraaggegevens'!C2&lt;&gt;"",'1. Aanvraaggegevens'!C2,"")</f>
        <v/>
      </c>
      <c r="D2" s="388"/>
      <c r="E2" s="389"/>
      <c r="F2" s="52"/>
      <c r="G2" s="52"/>
      <c r="H2" s="52"/>
      <c r="I2" s="52"/>
      <c r="J2" s="52"/>
      <c r="K2" s="52"/>
      <c r="L2" s="52"/>
      <c r="M2" s="52"/>
    </row>
    <row r="3" spans="1:14" ht="15" customHeight="1" x14ac:dyDescent="0.25">
      <c r="A3" s="52"/>
      <c r="B3" s="24" t="s">
        <v>16</v>
      </c>
      <c r="C3" s="390" t="str">
        <f>IF('1. Aanvraaggegevens'!C3&lt;&gt;"",'1. Aanvraaggegevens'!C3,"")</f>
        <v/>
      </c>
      <c r="D3" s="391"/>
      <c r="E3" s="392"/>
      <c r="F3" s="52"/>
      <c r="G3" s="52"/>
      <c r="H3" s="52"/>
      <c r="I3" s="52"/>
      <c r="J3" s="52"/>
      <c r="K3" s="52"/>
      <c r="L3" s="52"/>
      <c r="M3" s="52"/>
    </row>
    <row r="4" spans="1:14" ht="15" customHeight="1" x14ac:dyDescent="0.25">
      <c r="A4" s="52"/>
      <c r="B4" s="24" t="s">
        <v>17</v>
      </c>
      <c r="C4" s="390" t="str">
        <f>IF('1. Aanvraaggegevens'!C4&lt;&gt;"",'1. Aanvraaggegevens'!C4,"")</f>
        <v/>
      </c>
      <c r="D4" s="391"/>
      <c r="E4" s="392"/>
      <c r="F4" s="52"/>
      <c r="G4" s="52"/>
      <c r="H4" s="52"/>
      <c r="I4" s="52"/>
      <c r="J4" s="52"/>
      <c r="K4" s="52"/>
      <c r="L4" s="52"/>
      <c r="M4" s="52"/>
    </row>
    <row r="5" spans="1:14" ht="15" customHeight="1" x14ac:dyDescent="0.25">
      <c r="A5" s="52"/>
      <c r="B5" s="24" t="s">
        <v>18</v>
      </c>
      <c r="C5" s="390" t="str">
        <f>IF('1. Aanvraaggegevens'!C5&lt;&gt;"",'1. Aanvraaggegevens'!C5,"")</f>
        <v/>
      </c>
      <c r="D5" s="391"/>
      <c r="E5" s="392"/>
      <c r="F5" s="52"/>
      <c r="G5" s="52"/>
      <c r="H5" s="52"/>
      <c r="I5" s="52"/>
      <c r="J5" s="52"/>
      <c r="K5" s="52"/>
      <c r="L5" s="52"/>
      <c r="M5" s="52"/>
    </row>
    <row r="6" spans="1:14" ht="15" customHeight="1" x14ac:dyDescent="0.25">
      <c r="A6" s="52"/>
      <c r="B6" s="6"/>
      <c r="C6" s="393" t="str">
        <f>IF('1. Aanvraaggegevens'!C6&lt;&gt;"",'1. Aanvraaggegevens'!C6,"")</f>
        <v/>
      </c>
      <c r="D6" s="394"/>
      <c r="E6" s="395"/>
      <c r="F6" s="52"/>
      <c r="G6" s="52"/>
      <c r="H6" s="52"/>
      <c r="I6" s="52"/>
      <c r="J6" s="52"/>
      <c r="K6" s="52"/>
      <c r="L6" s="52"/>
      <c r="M6" s="52"/>
    </row>
    <row r="7" spans="1:14" ht="3" customHeight="1" x14ac:dyDescent="0.25">
      <c r="A7" s="52"/>
      <c r="B7" s="55"/>
      <c r="C7" s="55"/>
      <c r="D7" s="56"/>
      <c r="E7" s="38"/>
      <c r="F7" s="52"/>
      <c r="G7" s="52"/>
      <c r="H7" s="52"/>
      <c r="I7" s="52"/>
      <c r="J7" s="52"/>
      <c r="K7" s="52"/>
      <c r="L7" s="52"/>
      <c r="M7" s="52"/>
    </row>
    <row r="8" spans="1:14" ht="15" customHeight="1" x14ac:dyDescent="0.25">
      <c r="A8" s="52"/>
      <c r="B8" s="209" t="s">
        <v>116</v>
      </c>
      <c r="C8" s="396" t="str">
        <f>IF('1. Aanvraaggegevens'!C8&lt;&gt;"",'1. Aanvraaggegevens'!C8,"")</f>
        <v/>
      </c>
      <c r="D8" s="397"/>
      <c r="E8" s="398"/>
      <c r="F8" s="52"/>
      <c r="G8" s="52"/>
      <c r="H8" s="52"/>
      <c r="I8" s="52"/>
      <c r="J8" s="52"/>
      <c r="K8" s="52"/>
      <c r="L8" s="52"/>
      <c r="M8" s="52"/>
    </row>
    <row r="9" spans="1:14" ht="3" customHeight="1" x14ac:dyDescent="0.25">
      <c r="A9" s="52"/>
      <c r="B9" s="55"/>
      <c r="C9" s="55"/>
      <c r="D9" s="56"/>
      <c r="F9" s="52"/>
      <c r="G9" s="52"/>
      <c r="H9" s="52"/>
      <c r="I9" s="52"/>
      <c r="J9" s="52"/>
      <c r="K9" s="52"/>
      <c r="L9" s="52"/>
      <c r="M9" s="52"/>
    </row>
    <row r="10" spans="1:14" ht="15" customHeight="1" x14ac:dyDescent="0.25">
      <c r="A10" s="52"/>
      <c r="B10" s="94" t="s">
        <v>167</v>
      </c>
      <c r="C10" s="404" t="str">
        <f>IF(Keuze_DB_Nr="","",Keuze_DB_Nr)</f>
        <v/>
      </c>
      <c r="D10" s="405"/>
      <c r="E10" s="406"/>
      <c r="F10" s="52"/>
      <c r="G10" s="52"/>
      <c r="H10" s="52"/>
      <c r="I10" s="52"/>
      <c r="J10" s="52"/>
      <c r="K10" s="52"/>
      <c r="L10" s="52"/>
      <c r="M10" s="52"/>
    </row>
    <row r="11" spans="1:14" ht="15" customHeight="1" x14ac:dyDescent="0.25">
      <c r="A11" s="52"/>
      <c r="B11" s="94" t="s">
        <v>131</v>
      </c>
      <c r="C11" s="407" t="str">
        <f>IF(Keuze_OntvangstDatum&lt;&gt;"",Keuze_OntvangstDatum,"")</f>
        <v/>
      </c>
      <c r="D11" s="408"/>
      <c r="E11" s="409"/>
      <c r="F11" s="52"/>
      <c r="G11" s="52"/>
      <c r="H11" s="52"/>
      <c r="I11" s="52"/>
      <c r="J11" s="52"/>
      <c r="K11" s="52"/>
      <c r="L11" s="52"/>
      <c r="M11" s="52"/>
    </row>
    <row r="12" spans="1:14" ht="15" customHeight="1" x14ac:dyDescent="0.25">
      <c r="A12" s="52"/>
      <c r="B12" s="94" t="s">
        <v>124</v>
      </c>
      <c r="C12" s="407" t="str">
        <f>IF(Keuze_Zaak_Nr&lt;&gt;"",Keuze_Zaak_Nr,"")</f>
        <v/>
      </c>
      <c r="D12" s="408"/>
      <c r="E12" s="409"/>
      <c r="F12" s="52"/>
      <c r="G12" s="52"/>
      <c r="H12" s="52"/>
      <c r="I12" s="52"/>
      <c r="J12" s="52"/>
      <c r="K12" s="52"/>
      <c r="L12" s="52"/>
      <c r="M12" s="52"/>
    </row>
    <row r="13" spans="1:14" ht="15" customHeight="1" x14ac:dyDescent="0.25">
      <c r="A13" s="52"/>
      <c r="B13" s="94" t="s">
        <v>115</v>
      </c>
      <c r="C13" s="407" t="str">
        <f>IF(Keuze_EindDatum&lt;&gt;"",Keuze_EindDatum,"")</f>
        <v/>
      </c>
      <c r="D13" s="408"/>
      <c r="E13" s="409"/>
      <c r="F13" s="52"/>
      <c r="G13" s="402" t="str">
        <f>"BEOORDELING BETAALVERZOEK "&amp; "("&amp;Keuze_DB_Nr_BEO&amp;")"</f>
        <v>BEOORDELING BETAALVERZOEK ()</v>
      </c>
      <c r="H13" s="403"/>
      <c r="I13" s="286"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25">
      <c r="A14" s="52"/>
      <c r="B14" s="55"/>
      <c r="C14" s="55"/>
      <c r="D14" s="56"/>
      <c r="E14" s="52"/>
      <c r="F14" s="52"/>
      <c r="G14" s="52"/>
      <c r="H14" s="52"/>
      <c r="I14" s="52"/>
    </row>
    <row r="15" spans="1:14" ht="45.75" customHeight="1" x14ac:dyDescent="0.25">
      <c r="A15" s="52"/>
      <c r="B15" s="274" t="s">
        <v>0</v>
      </c>
      <c r="C15" s="274" t="s">
        <v>230</v>
      </c>
      <c r="D15" s="230" t="s">
        <v>231</v>
      </c>
      <c r="E15" s="230" t="s">
        <v>276</v>
      </c>
      <c r="F15" s="230" t="s">
        <v>275</v>
      </c>
      <c r="G15" s="230" t="str">
        <f>"Totale uitgaven aangevraagd betaalverzoek ("&amp;Keuze_DB_Nr_BEO&amp;")"</f>
        <v>Totale uitgaven aangevraagd betaalverzoek ()</v>
      </c>
      <c r="H15" s="230" t="str">
        <f>"Totale uitgaven beoordeeld betaalverzoek ("&amp;Keuze_DB_Nr_BEO&amp;")"</f>
        <v>Totale uitgaven beoordeeld betaalverzoek ()</v>
      </c>
      <c r="I15" s="287" t="str" cm="1">
        <f t="array" aca="1" ref="I15" ca="1">TRANSPOSE(Activiteiten_Uniek_DB)</f>
        <v/>
      </c>
      <c r="J15" s="287"/>
      <c r="K15" s="287"/>
      <c r="L15" s="287"/>
      <c r="M15" s="287"/>
      <c r="N15" s="44"/>
    </row>
    <row r="16" spans="1:14" ht="15" customHeight="1" x14ac:dyDescent="0.25">
      <c r="A16" s="52"/>
      <c r="B16" s="299" t="s">
        <v>8</v>
      </c>
      <c r="C16" s="124">
        <f>SUMIF(Tb_ProjectKosten[Begroting],'6. Begrotingsoverzicht'!B11,Tb_ProjectKosten[Kosten_Beoordeeld])</f>
        <v>0</v>
      </c>
      <c r="D16" s="124">
        <f>'Beoordeeld begrotingsoverzicht'!E11</f>
        <v>0</v>
      </c>
      <c r="E16" s="124">
        <f>SUMIFS('8. Uitgaven betaalverzoek'!U:U,'8. Uitgaven betaalverzoek'!F:F,B16,'8. Uitgaven betaalverzoek'!A:A,"&lt;&gt;""")</f>
        <v>0</v>
      </c>
      <c r="F16" s="124">
        <f>SUMIFS('8. Uitgaven betaalverzoek'!V:V,'8. Uitgaven betaalverzoek'!F:F,B16,'8. Uitgaven betaalverzoek'!A:A,"&lt;&gt;""")</f>
        <v>0</v>
      </c>
      <c r="G16" s="124">
        <f ca="1">SUMIF(Tb_DBKostenBEO[],B16,Tb_DBKostenBEO[Deelbetaling_Aanvraag])</f>
        <v>0</v>
      </c>
      <c r="H16" s="124">
        <f ca="1">SUMIF(Tb_DBKostenBEO[],B16,Tb_DBKostenBEO[Deelbetaling_Beoordeeld])</f>
        <v>0</v>
      </c>
      <c r="I16" s="288" t="str">
        <f ca="1">IF(AND($E16&lt;&gt;0,I$15&lt;&gt;""),IF($C$10&lt;&gt;"",SUMIFS(SubsidieTabel_DB!$S:$S,SubsidieTabel_DB!$A:$A,I$15,SubsidieTabel_DB!$B:$B,$B16),SUMIFS(SubsidieTabel_DB!$F:$F,SubsidieTabel_DB!$A:$A,I$15,SubsidieTabel_DB!$B:$B,$B16)),"")</f>
        <v/>
      </c>
      <c r="J16" s="288" t="str">
        <f>IF(AND($E16&lt;&gt;0,J$15&lt;&gt;""),IF($C$10&lt;&gt;"",SUMIFS(SubsidieTabel_DB!$S:$S,SubsidieTabel_DB!$A:$A,J$15,SubsidieTabel_DB!$B:$B,$B16),SUMIFS(SubsidieTabel_DB!$F:$F,SubsidieTabel_DB!$A:$A,J$15,SubsidieTabel_DB!$B:$B,$B16)),"")</f>
        <v/>
      </c>
      <c r="K16" s="288" t="str">
        <f>IF(AND($E16&lt;&gt;0,K$15&lt;&gt;""),IF($C$10&lt;&gt;"",SUMIFS(SubsidieTabel_DB!$S:$S,SubsidieTabel_DB!$A:$A,K$15,SubsidieTabel_DB!$B:$B,$B16),SUMIFS(SubsidieTabel_DB!$F:$F,SubsidieTabel_DB!$A:$A,K$15,SubsidieTabel_DB!$B:$B,$B16)),"")</f>
        <v/>
      </c>
      <c r="L16" s="288" t="str">
        <f>IF(AND($E16&lt;&gt;0,L$15&lt;&gt;""),IF($C$10&lt;&gt;"",SUMIFS(SubsidieTabel_DB!$S:$S,SubsidieTabel_DB!$A:$A,L$15,SubsidieTabel_DB!$B:$B,$B16),SUMIFS(SubsidieTabel_DB!$F:$F,SubsidieTabel_DB!$A:$A,L$15,SubsidieTabel_DB!$B:$B,$B16)),"")</f>
        <v/>
      </c>
      <c r="M16" s="288" t="str">
        <f>IF(AND($E16&lt;&gt;0,M$15&lt;&gt;""),IF($C$10&lt;&gt;"",SUMIFS(SubsidieTabel_DB!$S:$S,SubsidieTabel_DB!$A:$A,M$15,SubsidieTabel_DB!$B:$B,$B16),SUMIFS(SubsidieTabel_DB!$F:$F,SubsidieTabel_DB!$A:$A,M$15,SubsidieTabel_DB!$B:$B,$B16)),"")</f>
        <v/>
      </c>
      <c r="N16" s="123" t="str">
        <f>IF(AND($E16&lt;&gt;0,N$15&lt;&gt;""),IF($C$10&lt;&gt;"",SUMIFS(SubsidieTabel_DB!$M:$M,SubsidieTabel_DB!$A:$A,N$15,SubsidieTabel_DB!$B:$B,$B16),SUMIFS(SubsidieTabel_DB!$F:$F,SubsidieTabel_DB!$A:$A,N$15,SubsidieTabel_DB!$B:$B,$B16)),"")</f>
        <v/>
      </c>
    </row>
    <row r="17" spans="1:14" ht="15" customHeight="1" x14ac:dyDescent="0.25">
      <c r="A17" s="52"/>
      <c r="B17" s="299" t="s">
        <v>91</v>
      </c>
      <c r="C17" s="124">
        <f>SUMIF(Tb_ProjectKosten[Begroting],'6. Begrotingsoverzicht'!B12,Tb_ProjectKosten[Kosten_Beoordeeld])</f>
        <v>0</v>
      </c>
      <c r="D17" s="124">
        <f>'Beoordeeld begrotingsoverzicht'!E12</f>
        <v>0</v>
      </c>
      <c r="E17" s="124">
        <f>SUMIFS('8. Uitgaven betaalverzoek'!U:U,'8. Uitgaven betaalverzoek'!F:F,B17,'8. Uitgaven betaalverzoek'!A:A,"&lt;&gt;""")</f>
        <v>0</v>
      </c>
      <c r="F17" s="124">
        <f>SUMIFS('8. Uitgaven betaalverzoek'!V:V,'8. Uitgaven betaalverzoek'!F:F,B17,'8. Uitgaven betaalverzoek'!A:A,"&lt;&gt;""")</f>
        <v>0</v>
      </c>
      <c r="G17" s="124">
        <f ca="1">SUMIF(Tb_DBKostenBEO[],B17,Tb_DBKostenBEO[Deelbetaling_Aanvraag])</f>
        <v>0</v>
      </c>
      <c r="H17" s="124">
        <f ca="1">SUMIF(Tb_DBKostenBEO[],B17,Tb_DBKostenBEO[Deelbetaling_Beoordeeld])</f>
        <v>0</v>
      </c>
      <c r="I17" s="288" t="str">
        <f ca="1">IF(AND($E17&lt;&gt;0,I$15&lt;&gt;""),IF($C$10&lt;&gt;"",SUMIFS(SubsidieTabel_DB!$S:$S,SubsidieTabel_DB!$A:$A,I$15,SubsidieTabel_DB!$B:$B,$B17),SUMIFS(SubsidieTabel_DB!$F:$F,SubsidieTabel_DB!$A:$A,I$15,SubsidieTabel_DB!$B:$B,$B17)),"")</f>
        <v/>
      </c>
      <c r="J17" s="288" t="str">
        <f>IF(AND($E17&lt;&gt;0,J$15&lt;&gt;""),IF($C$10&lt;&gt;"",SUMIFS(SubsidieTabel_DB!$S:$S,SubsidieTabel_DB!$A:$A,J$15,SubsidieTabel_DB!$B:$B,$B17),SUMIFS(SubsidieTabel_DB!$F:$F,SubsidieTabel_DB!$A:$A,J$15,SubsidieTabel_DB!$B:$B,$B17)),"")</f>
        <v/>
      </c>
      <c r="K17" s="288" t="str">
        <f>IF(AND($E17&lt;&gt;0,K$15&lt;&gt;""),IF($C$10&lt;&gt;"",SUMIFS(SubsidieTabel_DB!$S:$S,SubsidieTabel_DB!$A:$A,K$15,SubsidieTabel_DB!$B:$B,$B17),SUMIFS(SubsidieTabel_DB!$F:$F,SubsidieTabel_DB!$A:$A,K$15,SubsidieTabel_DB!$B:$B,$B17)),"")</f>
        <v/>
      </c>
      <c r="L17" s="288" t="str">
        <f>IF(AND($E17&lt;&gt;0,L$15&lt;&gt;""),IF($C$10&lt;&gt;"",SUMIFS(SubsidieTabel_DB!$S:$S,SubsidieTabel_DB!$A:$A,L$15,SubsidieTabel_DB!$B:$B,$B17),SUMIFS(SubsidieTabel_DB!$F:$F,SubsidieTabel_DB!$A:$A,L$15,SubsidieTabel_DB!$B:$B,$B17)),"")</f>
        <v/>
      </c>
      <c r="M17" s="288" t="str">
        <f>IF(AND($E17&lt;&gt;0,M$15&lt;&gt;""),IF($C$10&lt;&gt;"",SUMIFS(SubsidieTabel_DB!$S:$S,SubsidieTabel_DB!$A:$A,M$15,SubsidieTabel_DB!$B:$B,$B17),SUMIFS(SubsidieTabel_DB!$F:$F,SubsidieTabel_DB!$A:$A,M$15,SubsidieTabel_DB!$B:$B,$B17)),"")</f>
        <v/>
      </c>
      <c r="N17" s="123" t="str">
        <f>IF(AND($E17&lt;&gt;0,N$15&lt;&gt;""),IF($C$10&lt;&gt;"",SUMIFS(SubsidieTabel_DB!$M:$M,SubsidieTabel_DB!$A:$A,N$15,SubsidieTabel_DB!$B:$B,$B17),SUMIFS(SubsidieTabel_DB!$F:$F,SubsidieTabel_DB!$A:$A,N$15,SubsidieTabel_DB!$B:$B,$B17)),"")</f>
        <v/>
      </c>
    </row>
    <row r="18" spans="1:14" ht="15" customHeight="1" x14ac:dyDescent="0.25">
      <c r="A18" s="52"/>
      <c r="B18" s="9" t="s">
        <v>28</v>
      </c>
      <c r="C18" s="124">
        <f>SUMIF(Tb_ProjectKosten[Begroting],'6. Begrotingsoverzicht'!B13,Tb_ProjectKosten[Kosten_Beoordeeld])</f>
        <v>0</v>
      </c>
      <c r="D18" s="124">
        <f>'Beoordeeld begrotingsoverzicht'!E13</f>
        <v>0</v>
      </c>
      <c r="E18" s="124">
        <f>SUMIFS('8. Uitgaven betaalverzoek'!U:U,'8. Uitgaven betaalverzoek'!F:F,B18,'8. Uitgaven betaalverzoek'!A:A,"&lt;&gt;""")</f>
        <v>0</v>
      </c>
      <c r="F18" s="124">
        <f>SUMIFS('8. Uitgaven betaalverzoek'!V:V,'8. Uitgaven betaalverzoek'!F:F,B18,'8. Uitgaven betaalverzoek'!A:A,"&lt;&gt;""")</f>
        <v>0</v>
      </c>
      <c r="G18" s="124">
        <f ca="1">SUMIF(Tb_DBKostenBEO[],B18,Tb_DBKostenBEO[Deelbetaling_Aanvraag])</f>
        <v>0</v>
      </c>
      <c r="H18" s="124">
        <f ca="1">SUMIF(Tb_DBKostenBEO[],B18,Tb_DBKostenBEO[Deelbetaling_Beoordeeld])</f>
        <v>0</v>
      </c>
      <c r="I18" s="288" t="str">
        <f ca="1">IF(AND($E18&lt;&gt;0,I$15&lt;&gt;""),IF($C$10&lt;&gt;"",SUMIFS(SubsidieTabel_DB!$S:$S,SubsidieTabel_DB!$A:$A,I$15,SubsidieTabel_DB!$B:$B,$B18),SUMIFS(SubsidieTabel_DB!$F:$F,SubsidieTabel_DB!$A:$A,I$15,SubsidieTabel_DB!$B:$B,$B18)),"")</f>
        <v/>
      </c>
      <c r="J18" s="288" t="str">
        <f>IF(AND($E18&lt;&gt;0,J$15&lt;&gt;""),IF($C$10&lt;&gt;"",SUMIFS(SubsidieTabel_DB!$S:$S,SubsidieTabel_DB!$A:$A,J$15,SubsidieTabel_DB!$B:$B,$B18),SUMIFS(SubsidieTabel_DB!$F:$F,SubsidieTabel_DB!$A:$A,J$15,SubsidieTabel_DB!$B:$B,$B18)),"")</f>
        <v/>
      </c>
      <c r="K18" s="288" t="str">
        <f>IF(AND($E18&lt;&gt;0,K$15&lt;&gt;""),IF($C$10&lt;&gt;"",SUMIFS(SubsidieTabel_DB!$S:$S,SubsidieTabel_DB!$A:$A,K$15,SubsidieTabel_DB!$B:$B,$B18),SUMIFS(SubsidieTabel_DB!$F:$F,SubsidieTabel_DB!$A:$A,K$15,SubsidieTabel_DB!$B:$B,$B18)),"")</f>
        <v/>
      </c>
      <c r="L18" s="288" t="str">
        <f>IF(AND($E18&lt;&gt;0,L$15&lt;&gt;""),IF($C$10&lt;&gt;"",SUMIFS(SubsidieTabel_DB!$S:$S,SubsidieTabel_DB!$A:$A,L$15,SubsidieTabel_DB!$B:$B,$B18),SUMIFS(SubsidieTabel_DB!$F:$F,SubsidieTabel_DB!$A:$A,L$15,SubsidieTabel_DB!$B:$B,$B18)),"")</f>
        <v/>
      </c>
      <c r="M18" s="288" t="str">
        <f>IF(AND($E18&lt;&gt;0,M$15&lt;&gt;""),IF($C$10&lt;&gt;"",SUMIFS(SubsidieTabel_DB!$S:$S,SubsidieTabel_DB!$A:$A,M$15,SubsidieTabel_DB!$B:$B,$B18),SUMIFS(SubsidieTabel_DB!$F:$F,SubsidieTabel_DB!$A:$A,M$15,SubsidieTabel_DB!$B:$B,$B18)),"")</f>
        <v/>
      </c>
      <c r="N18" s="123" t="str">
        <f>IF(AND($E18&lt;&gt;0,N$15&lt;&gt;""),IF($C$10&lt;&gt;"",SUMIFS(SubsidieTabel_DB!$M:$M,SubsidieTabel_DB!$A:$A,N$15,SubsidieTabel_DB!$B:$B,$B18),SUMIFS(SubsidieTabel_DB!$F:$F,SubsidieTabel_DB!$A:$A,N$15,SubsidieTabel_DB!$B:$B,$B18)),"")</f>
        <v/>
      </c>
    </row>
    <row r="19" spans="1:14" ht="15" customHeight="1" x14ac:dyDescent="0.25">
      <c r="A19" s="52"/>
      <c r="B19" s="9" t="s">
        <v>11</v>
      </c>
      <c r="C19" s="124">
        <f>SUMIF(Tb_ProjectKosten[Begroting],'6. Begrotingsoverzicht'!B14,Tb_ProjectKosten[Kosten_Beoordeeld])</f>
        <v>0</v>
      </c>
      <c r="D19" s="124">
        <f>'Beoordeeld begrotingsoverzicht'!E14</f>
        <v>0</v>
      </c>
      <c r="E19" s="124">
        <f>SUMIFS('8. Uitgaven betaalverzoek'!U:U,'8. Uitgaven betaalverzoek'!F:F,B19,'8. Uitgaven betaalverzoek'!A:A,"&lt;&gt;""")</f>
        <v>0</v>
      </c>
      <c r="F19" s="124">
        <f>SUMIFS('8. Uitgaven betaalverzoek'!V:V,'8. Uitgaven betaalverzoek'!F:F,B19,'8. Uitgaven betaalverzoek'!A:A,"&lt;&gt;""")</f>
        <v>0</v>
      </c>
      <c r="G19" s="124">
        <f ca="1">SUMIF(Tb_DBKostenBEO[],B19,Tb_DBKostenBEO[Deelbetaling_Aanvraag])</f>
        <v>0</v>
      </c>
      <c r="H19" s="124">
        <f ca="1">SUMIF(Tb_DBKostenBEO[],B19,Tb_DBKostenBEO[Deelbetaling_Beoordeeld])</f>
        <v>0</v>
      </c>
      <c r="I19" s="288" t="str">
        <f ca="1">IF(AND($E19&lt;&gt;0,I$15&lt;&gt;""),IF($C$10&lt;&gt;"",SUMIFS(SubsidieTabel_DB!$S:$S,SubsidieTabel_DB!$A:$A,I$15,SubsidieTabel_DB!$B:$B,$B19),SUMIFS(SubsidieTabel_DB!$F:$F,SubsidieTabel_DB!$A:$A,I$15,SubsidieTabel_DB!$B:$B,$B19)),"")</f>
        <v/>
      </c>
      <c r="J19" s="288" t="str">
        <f>IF(AND($E19&lt;&gt;0,J$15&lt;&gt;""),IF($C$10&lt;&gt;"",SUMIFS(SubsidieTabel_DB!$S:$S,SubsidieTabel_DB!$A:$A,J$15,SubsidieTabel_DB!$B:$B,$B19),SUMIFS(SubsidieTabel_DB!$F:$F,SubsidieTabel_DB!$A:$A,J$15,SubsidieTabel_DB!$B:$B,$B19)),"")</f>
        <v/>
      </c>
      <c r="K19" s="288" t="str">
        <f>IF(AND($E19&lt;&gt;0,K$15&lt;&gt;""),IF($C$10&lt;&gt;"",SUMIFS(SubsidieTabel_DB!$S:$S,SubsidieTabel_DB!$A:$A,K$15,SubsidieTabel_DB!$B:$B,$B19),SUMIFS(SubsidieTabel_DB!$F:$F,SubsidieTabel_DB!$A:$A,K$15,SubsidieTabel_DB!$B:$B,$B19)),"")</f>
        <v/>
      </c>
      <c r="L19" s="288" t="str">
        <f>IF(AND($E19&lt;&gt;0,L$15&lt;&gt;""),IF($C$10&lt;&gt;"",SUMIFS(SubsidieTabel_DB!$S:$S,SubsidieTabel_DB!$A:$A,L$15,SubsidieTabel_DB!$B:$B,$B19),SUMIFS(SubsidieTabel_DB!$F:$F,SubsidieTabel_DB!$A:$A,L$15,SubsidieTabel_DB!$B:$B,$B19)),"")</f>
        <v/>
      </c>
      <c r="M19" s="288" t="str">
        <f>IF(AND($E19&lt;&gt;0,M$15&lt;&gt;""),IF($C$10&lt;&gt;"",SUMIFS(SubsidieTabel_DB!$S:$S,SubsidieTabel_DB!$A:$A,M$15,SubsidieTabel_DB!$B:$B,$B19),SUMIFS(SubsidieTabel_DB!$F:$F,SubsidieTabel_DB!$A:$A,M$15,SubsidieTabel_DB!$B:$B,$B19)),"")</f>
        <v/>
      </c>
      <c r="N19" s="123" t="str">
        <f>IF(AND($E19&lt;&gt;0,N$15&lt;&gt;""),IF($C$10&lt;&gt;"",SUMIFS(SubsidieTabel_DB!$M:$M,SubsidieTabel_DB!$A:$A,N$15,SubsidieTabel_DB!$B:$B,$B19),SUMIFS(SubsidieTabel_DB!$F:$F,SubsidieTabel_DB!$A:$A,N$15,SubsidieTabel_DB!$B:$B,$B19)),"")</f>
        <v/>
      </c>
    </row>
    <row r="20" spans="1:14" ht="15" customHeight="1" x14ac:dyDescent="0.25">
      <c r="A20" s="52"/>
      <c r="B20" s="9" t="s">
        <v>106</v>
      </c>
      <c r="C20" s="124">
        <f>SUMIF(Tb_ProjectKosten[Begroting],'6. Begrotingsoverzicht'!B15,Tb_ProjectKosten[Kosten_Beoordeeld])</f>
        <v>0</v>
      </c>
      <c r="D20" s="124">
        <f ca="1">'Beoordeeld begrotingsoverzicht'!E15</f>
        <v>0</v>
      </c>
      <c r="E20" s="124">
        <f>SUMIFS('8. Uitgaven betaalverzoek'!U:U,'8. Uitgaven betaalverzoek'!F:F,B20,'8. Uitgaven betaalverzoek'!A:A,"&lt;&gt;""")</f>
        <v>0</v>
      </c>
      <c r="F20" s="124">
        <f>SUMIFS('8. Uitgaven betaalverzoek'!V:V,'8. Uitgaven betaalverzoek'!F:F,B20,'8. Uitgaven betaalverzoek'!A:A,"&lt;&gt;""")</f>
        <v>0</v>
      </c>
      <c r="G20" s="124">
        <f ca="1">SUMIF(Tb_DBKostenBEO[],B20,Tb_DBKostenBEO[Deelbetaling_Aanvraag])</f>
        <v>0</v>
      </c>
      <c r="H20" s="124">
        <f ca="1">SUMIF(Tb_DBKostenBEO[],B20,Tb_DBKostenBEO[Deelbetaling_Beoordeeld])</f>
        <v>0</v>
      </c>
      <c r="I20" s="288" t="str">
        <f ca="1">IF(AND($E20&lt;&gt;0,I$15&lt;&gt;""),IF($C$10&lt;&gt;"",SUMIFS(SubsidieTabel_DB!$S:$S,SubsidieTabel_DB!$A:$A,I$15,SubsidieTabel_DB!$B:$B,$B20),SUMIFS(SubsidieTabel_DB!$F:$F,SubsidieTabel_DB!$A:$A,I$15,SubsidieTabel_DB!$B:$B,$B20)),"")</f>
        <v/>
      </c>
      <c r="J20" s="288" t="str">
        <f>IF(AND($E20&lt;&gt;0,J$15&lt;&gt;""),IF($C$10&lt;&gt;"",SUMIFS(SubsidieTabel_DB!$S:$S,SubsidieTabel_DB!$A:$A,J$15,SubsidieTabel_DB!$B:$B,$B20),SUMIFS(SubsidieTabel_DB!$F:$F,SubsidieTabel_DB!$A:$A,J$15,SubsidieTabel_DB!$B:$B,$B20)),"")</f>
        <v/>
      </c>
      <c r="K20" s="288" t="str">
        <f>IF(AND($E20&lt;&gt;0,K$15&lt;&gt;""),IF($C$10&lt;&gt;"",SUMIFS(SubsidieTabel_DB!$S:$S,SubsidieTabel_DB!$A:$A,K$15,SubsidieTabel_DB!$B:$B,$B20),SUMIFS(SubsidieTabel_DB!$F:$F,SubsidieTabel_DB!$A:$A,K$15,SubsidieTabel_DB!$B:$B,$B20)),"")</f>
        <v/>
      </c>
      <c r="L20" s="288" t="str">
        <f>IF(AND($E20&lt;&gt;0,L$15&lt;&gt;""),IF($C$10&lt;&gt;"",SUMIFS(SubsidieTabel_DB!$S:$S,SubsidieTabel_DB!$A:$A,L$15,SubsidieTabel_DB!$B:$B,$B20),SUMIFS(SubsidieTabel_DB!$F:$F,SubsidieTabel_DB!$A:$A,L$15,SubsidieTabel_DB!$B:$B,$B20)),"")</f>
        <v/>
      </c>
      <c r="M20" s="288" t="str">
        <f>IF(AND($E20&lt;&gt;0,M$15&lt;&gt;""),IF($C$10&lt;&gt;"",SUMIFS(SubsidieTabel_DB!$S:$S,SubsidieTabel_DB!$A:$A,M$15,SubsidieTabel_DB!$B:$B,$B20),SUMIFS(SubsidieTabel_DB!$F:$F,SubsidieTabel_DB!$A:$A,M$15,SubsidieTabel_DB!$B:$B,$B20)),"")</f>
        <v/>
      </c>
      <c r="N20" s="123" t="str">
        <f>IF(AND($E20&lt;&gt;0,N$15&lt;&gt;""),IF($C$10&lt;&gt;"",SUMIFS(SubsidieTabel_DB!$M:$M,SubsidieTabel_DB!$A:$A,N$15,SubsidieTabel_DB!$B:$B,$B20),SUMIFS(SubsidieTabel_DB!$F:$F,SubsidieTabel_DB!$A:$A,N$15,SubsidieTabel_DB!$B:$B,$B20)),"")</f>
        <v/>
      </c>
    </row>
    <row r="21" spans="1:14" ht="15" customHeight="1" x14ac:dyDescent="0.25">
      <c r="A21" s="52"/>
      <c r="B21" s="9" t="s">
        <v>107</v>
      </c>
      <c r="C21" s="124">
        <f>SUMIF(Tb_ProjectKosten[Begroting],'6. Begrotingsoverzicht'!B16,Tb_ProjectKosten[Kosten_Beoordeeld])</f>
        <v>0</v>
      </c>
      <c r="D21" s="124">
        <f ca="1">'Beoordeeld begrotingsoverzicht'!E16</f>
        <v>0</v>
      </c>
      <c r="E21" s="124">
        <f>SUMIFS('8. Uitgaven betaalverzoek'!U:U,'8. Uitgaven betaalverzoek'!F:F,B21,'8. Uitgaven betaalverzoek'!A:A,"&lt;&gt;""")</f>
        <v>0</v>
      </c>
      <c r="F21" s="124">
        <f>SUMIFS('8. Uitgaven betaalverzoek'!V:V,'8. Uitgaven betaalverzoek'!F:F,B21,'8. Uitgaven betaalverzoek'!A:A,"&lt;&gt;""")</f>
        <v>0</v>
      </c>
      <c r="G21" s="124">
        <f ca="1">SUMIF(Tb_DBKostenBEO[],B21,Tb_DBKostenBEO[Deelbetaling_Aanvraag])</f>
        <v>0</v>
      </c>
      <c r="H21" s="124">
        <f ca="1">SUMIF(Tb_DBKostenBEO[],B21,Tb_DBKostenBEO[Deelbetaling_Beoordeeld])</f>
        <v>0</v>
      </c>
      <c r="I21" s="288" t="str">
        <f ca="1">IF(AND($E21&lt;&gt;0,I$15&lt;&gt;""),IF($C$10&lt;&gt;"",SUMIFS(SubsidieTabel_DB!$S:$S,SubsidieTabel_DB!$A:$A,I$15,SubsidieTabel_DB!$B:$B,$B21),SUMIFS(SubsidieTabel_DB!$F:$F,SubsidieTabel_DB!$A:$A,I$15,SubsidieTabel_DB!$B:$B,$B21)),"")</f>
        <v/>
      </c>
      <c r="J21" s="288" t="str">
        <f>IF(AND($E21&lt;&gt;0,J$15&lt;&gt;""),IF($C$10&lt;&gt;"",SUMIFS(SubsidieTabel_DB!$S:$S,SubsidieTabel_DB!$A:$A,J$15,SubsidieTabel_DB!$B:$B,$B21),SUMIFS(SubsidieTabel_DB!$F:$F,SubsidieTabel_DB!$A:$A,J$15,SubsidieTabel_DB!$B:$B,$B21)),"")</f>
        <v/>
      </c>
      <c r="K21" s="288" t="str">
        <f>IF(AND($E21&lt;&gt;0,K$15&lt;&gt;""),IF($C$10&lt;&gt;"",SUMIFS(SubsidieTabel_DB!$S:$S,SubsidieTabel_DB!$A:$A,K$15,SubsidieTabel_DB!$B:$B,$B21),SUMIFS(SubsidieTabel_DB!$F:$F,SubsidieTabel_DB!$A:$A,K$15,SubsidieTabel_DB!$B:$B,$B21)),"")</f>
        <v/>
      </c>
      <c r="L21" s="288" t="str">
        <f>IF(AND($E21&lt;&gt;0,L$15&lt;&gt;""),IF($C$10&lt;&gt;"",SUMIFS(SubsidieTabel_DB!$S:$S,SubsidieTabel_DB!$A:$A,L$15,SubsidieTabel_DB!$B:$B,$B21),SUMIFS(SubsidieTabel_DB!$F:$F,SubsidieTabel_DB!$A:$A,L$15,SubsidieTabel_DB!$B:$B,$B21)),"")</f>
        <v/>
      </c>
      <c r="M21" s="288" t="str">
        <f>IF(AND($E21&lt;&gt;0,M$15&lt;&gt;""),IF($C$10&lt;&gt;"",SUMIFS(SubsidieTabel_DB!$S:$S,SubsidieTabel_DB!$A:$A,M$15,SubsidieTabel_DB!$B:$B,$B21),SUMIFS(SubsidieTabel_DB!$F:$F,SubsidieTabel_DB!$A:$A,M$15,SubsidieTabel_DB!$B:$B,$B21)),"")</f>
        <v/>
      </c>
      <c r="N21" s="123" t="str">
        <f>IF(AND($E21&lt;&gt;0,N$15&lt;&gt;""),IF($C$10&lt;&gt;"",SUMIFS(SubsidieTabel_DB!$M:$M,SubsidieTabel_DB!$A:$A,N$15,SubsidieTabel_DB!$B:$B,$B21),SUMIFS(SubsidieTabel_DB!$F:$F,SubsidieTabel_DB!$A:$A,N$15,SubsidieTabel_DB!$B:$B,$B21)),"")</f>
        <v/>
      </c>
    </row>
    <row r="22" spans="1:14" ht="15" customHeight="1" x14ac:dyDescent="0.25">
      <c r="A22" s="52"/>
      <c r="B22" s="9" t="s">
        <v>3</v>
      </c>
      <c r="C22" s="124">
        <f>SUMIF(Tb_ProjectKosten[Begroting],'6. Begrotingsoverzicht'!B17,Tb_ProjectKosten[Kosten_Beoordeeld])</f>
        <v>0</v>
      </c>
      <c r="D22" s="124">
        <f>'Beoordeeld begrotingsoverzicht'!E17</f>
        <v>0</v>
      </c>
      <c r="E22" s="124">
        <f>SUMIFS('8. Uitgaven betaalverzoek'!U:U,'8. Uitgaven betaalverzoek'!F:F,B22,'8. Uitgaven betaalverzoek'!A:A,"&lt;&gt;""")</f>
        <v>0</v>
      </c>
      <c r="F22" s="124">
        <f>SUMIFS('8. Uitgaven betaalverzoek'!V:V,'8. Uitgaven betaalverzoek'!F:F,B22,'8. Uitgaven betaalverzoek'!A:A,"&lt;&gt;""")</f>
        <v>0</v>
      </c>
      <c r="G22" s="124">
        <f ca="1">SUMIF(Tb_DBKostenBEO[],B22,Tb_DBKostenBEO[Deelbetaling_Aanvraag])</f>
        <v>0</v>
      </c>
      <c r="H22" s="124">
        <f ca="1">SUMIF(Tb_DBKostenBEO[],B22,Tb_DBKostenBEO[Deelbetaling_Beoordeeld])</f>
        <v>0</v>
      </c>
      <c r="I22" s="288" t="str">
        <f ca="1">IF(AND($E22&lt;&gt;0,I$15&lt;&gt;""),IF($C$10&lt;&gt;"",SUMIFS(SubsidieTabel_DB!$S:$S,SubsidieTabel_DB!$A:$A,I$15,SubsidieTabel_DB!$B:$B,$B22),SUMIFS(SubsidieTabel_DB!$F:$F,SubsidieTabel_DB!$A:$A,I$15,SubsidieTabel_DB!$B:$B,$B22)),"")</f>
        <v/>
      </c>
      <c r="J22" s="288" t="str">
        <f>IF(AND($E22&lt;&gt;0,J$15&lt;&gt;""),IF($C$10&lt;&gt;"",SUMIFS(SubsidieTabel_DB!$S:$S,SubsidieTabel_DB!$A:$A,J$15,SubsidieTabel_DB!$B:$B,$B22),SUMIFS(SubsidieTabel_DB!$F:$F,SubsidieTabel_DB!$A:$A,J$15,SubsidieTabel_DB!$B:$B,$B22)),"")</f>
        <v/>
      </c>
      <c r="K22" s="288" t="str">
        <f>IF(AND($E22&lt;&gt;0,K$15&lt;&gt;""),IF($C$10&lt;&gt;"",SUMIFS(SubsidieTabel_DB!$S:$S,SubsidieTabel_DB!$A:$A,K$15,SubsidieTabel_DB!$B:$B,$B22),SUMIFS(SubsidieTabel_DB!$F:$F,SubsidieTabel_DB!$A:$A,K$15,SubsidieTabel_DB!$B:$B,$B22)),"")</f>
        <v/>
      </c>
      <c r="L22" s="288" t="str">
        <f>IF(AND($E22&lt;&gt;0,L$15&lt;&gt;""),IF($C$10&lt;&gt;"",SUMIFS(SubsidieTabel_DB!$S:$S,SubsidieTabel_DB!$A:$A,L$15,SubsidieTabel_DB!$B:$B,$B22),SUMIFS(SubsidieTabel_DB!$F:$F,SubsidieTabel_DB!$A:$A,L$15,SubsidieTabel_DB!$B:$B,$B22)),"")</f>
        <v/>
      </c>
      <c r="M22" s="288" t="str">
        <f>IF(AND($E22&lt;&gt;0,M$15&lt;&gt;""),IF($C$10&lt;&gt;"",SUMIFS(SubsidieTabel_DB!$S:$S,SubsidieTabel_DB!$A:$A,M$15,SubsidieTabel_DB!$B:$B,$B22),SUMIFS(SubsidieTabel_DB!$F:$F,SubsidieTabel_DB!$A:$A,M$15,SubsidieTabel_DB!$B:$B,$B22)),"")</f>
        <v/>
      </c>
      <c r="N22" s="123" t="str">
        <f>IF(AND($E22&lt;&gt;0,N$15&lt;&gt;""),IF($C$10&lt;&gt;"",SUMIFS(SubsidieTabel_DB!$M:$M,SubsidieTabel_DB!$A:$A,N$15,SubsidieTabel_DB!$B:$B,$B22),SUMIFS(SubsidieTabel_DB!$F:$F,SubsidieTabel_DB!$A:$A,N$15,SubsidieTabel_DB!$B:$B,$B22)),"")</f>
        <v/>
      </c>
    </row>
    <row r="23" spans="1:14" ht="15" customHeight="1" x14ac:dyDescent="0.25">
      <c r="A23" s="52"/>
      <c r="B23" s="9" t="s">
        <v>27</v>
      </c>
      <c r="C23" s="124">
        <f>SUMIF(Tb_ProjectKosten[Begroting],'6. Begrotingsoverzicht'!B18,Tb_ProjectKosten[Kosten_Beoordeeld])</f>
        <v>0</v>
      </c>
      <c r="D23" s="124">
        <f>'Beoordeeld begrotingsoverzicht'!E18</f>
        <v>0</v>
      </c>
      <c r="E23" s="124">
        <f>SUMIFS('8. Uitgaven betaalverzoek'!U:U,'8. Uitgaven betaalverzoek'!F:F,B23,'8. Uitgaven betaalverzoek'!A:A,"&lt;&gt;""")</f>
        <v>0</v>
      </c>
      <c r="F23" s="124">
        <f>SUMIFS('8. Uitgaven betaalverzoek'!V:V,'8. Uitgaven betaalverzoek'!F:F,B23,'8. Uitgaven betaalverzoek'!A:A,"&lt;&gt;""")</f>
        <v>0</v>
      </c>
      <c r="G23" s="124">
        <f ca="1">SUMIF(Tb_DBKostenBEO[],B23,Tb_DBKostenBEO[Deelbetaling_Aanvraag])</f>
        <v>0</v>
      </c>
      <c r="H23" s="124">
        <f ca="1">SUMIF(Tb_DBKostenBEO[],B23,Tb_DBKostenBEO[Deelbetaling_Beoordeeld])</f>
        <v>0</v>
      </c>
      <c r="I23" s="288" t="str">
        <f ca="1">IF(AND($E23&lt;&gt;0,I$15&lt;&gt;""),IF($C$10&lt;&gt;"",SUMIFS(SubsidieTabel_DB!$S:$S,SubsidieTabel_DB!$A:$A,I$15,SubsidieTabel_DB!$B:$B,$B23),SUMIFS(SubsidieTabel_DB!$F:$F,SubsidieTabel_DB!$A:$A,I$15,SubsidieTabel_DB!$B:$B,$B23)),"")</f>
        <v/>
      </c>
      <c r="J23" s="288" t="str">
        <f>IF(AND($E23&lt;&gt;0,J$15&lt;&gt;""),IF($C$10&lt;&gt;"",SUMIFS(SubsidieTabel_DB!$S:$S,SubsidieTabel_DB!$A:$A,J$15,SubsidieTabel_DB!$B:$B,$B23),SUMIFS(SubsidieTabel_DB!$F:$F,SubsidieTabel_DB!$A:$A,J$15,SubsidieTabel_DB!$B:$B,$B23)),"")</f>
        <v/>
      </c>
      <c r="K23" s="288" t="str">
        <f>IF(AND($E23&lt;&gt;0,K$15&lt;&gt;""),IF($C$10&lt;&gt;"",SUMIFS(SubsidieTabel_DB!$S:$S,SubsidieTabel_DB!$A:$A,K$15,SubsidieTabel_DB!$B:$B,$B23),SUMIFS(SubsidieTabel_DB!$F:$F,SubsidieTabel_DB!$A:$A,K$15,SubsidieTabel_DB!$B:$B,$B23)),"")</f>
        <v/>
      </c>
      <c r="L23" s="288" t="str">
        <f>IF(AND($E23&lt;&gt;0,L$15&lt;&gt;""),IF($C$10&lt;&gt;"",SUMIFS(SubsidieTabel_DB!$S:$S,SubsidieTabel_DB!$A:$A,L$15,SubsidieTabel_DB!$B:$B,$B23),SUMIFS(SubsidieTabel_DB!$F:$F,SubsidieTabel_DB!$A:$A,L$15,SubsidieTabel_DB!$B:$B,$B23)),"")</f>
        <v/>
      </c>
      <c r="M23" s="288" t="str">
        <f>IF(AND($E23&lt;&gt;0,M$15&lt;&gt;""),IF($C$10&lt;&gt;"",SUMIFS(SubsidieTabel_DB!$S:$S,SubsidieTabel_DB!$A:$A,M$15,SubsidieTabel_DB!$B:$B,$B23),SUMIFS(SubsidieTabel_DB!$F:$F,SubsidieTabel_DB!$A:$A,M$15,SubsidieTabel_DB!$B:$B,$B23)),"")</f>
        <v/>
      </c>
      <c r="N23" s="123" t="str">
        <f>IF(AND($E23&lt;&gt;0,N$15&lt;&gt;""),IF($C$10&lt;&gt;"",SUMIFS(SubsidieTabel_DB!$M:$M,SubsidieTabel_DB!$A:$A,N$15,SubsidieTabel_DB!$B:$B,$B23),SUMIFS(SubsidieTabel_DB!$F:$F,SubsidieTabel_DB!$A:$A,N$15,SubsidieTabel_DB!$B:$B,$B23)),"")</f>
        <v/>
      </c>
    </row>
    <row r="24" spans="1:14" ht="15" customHeight="1" x14ac:dyDescent="0.25">
      <c r="A24" s="52"/>
      <c r="B24" s="11" t="s">
        <v>114</v>
      </c>
      <c r="C24" s="195">
        <f>SUM(C16:C23)</f>
        <v>0</v>
      </c>
      <c r="D24" s="195">
        <f ca="1">ROUND(SUM(D16:D23),2)</f>
        <v>0</v>
      </c>
      <c r="E24" s="195">
        <f>ROUND(SUM(E16:E23),2)</f>
        <v>0</v>
      </c>
      <c r="F24" s="195">
        <f>ROUND(SUM(F16:F23),2)</f>
        <v>0</v>
      </c>
      <c r="G24" s="196">
        <f ca="1">SUM(G16:G23)</f>
        <v>0</v>
      </c>
      <c r="H24" s="196">
        <f ca="1">SUM(H16:H23)</f>
        <v>0</v>
      </c>
      <c r="I24" s="288" t="str">
        <f ca="1">IF(SUM(I16:I23)=0,"",SUM(I16:I23))</f>
        <v/>
      </c>
      <c r="J24" s="288" t="str">
        <f t="shared" ref="J24:N24" si="0">IF(SUM(J16:J23)=0,"",SUM(J16:J23))</f>
        <v/>
      </c>
      <c r="K24" s="288" t="str">
        <f t="shared" si="0"/>
        <v/>
      </c>
      <c r="L24" s="288" t="str">
        <f t="shared" si="0"/>
        <v/>
      </c>
      <c r="M24" s="288" t="str">
        <f t="shared" si="0"/>
        <v/>
      </c>
      <c r="N24" s="123" t="str">
        <f t="shared" si="0"/>
        <v/>
      </c>
    </row>
    <row r="25" spans="1:14" s="38" customFormat="1" ht="15" customHeight="1" x14ac:dyDescent="0.25">
      <c r="A25" s="55"/>
      <c r="B25" s="126" t="str" cm="1">
        <f t="array" ref="B25">_xlfn.IFS(OR($C$8="",$C$8="Geen vereenvoudigde kostenoptie"),"Geen forfait",$C$8="Vereenvoudigde kostenoptie voor overige kosten","Forfait voor overige kosten",$C$8="Vereenvoudigde kostenoptie voor arbeidskosten","Forfait voor arbeidskosten")</f>
        <v>Geen forfait</v>
      </c>
      <c r="C25" s="124" t="str">
        <f>IF(SUM(Tb_ProjectKosten[Forfait_Bedrag])&gt;0,SUM(Tb_ProjectKosten[Forfait_Bedrag_Beoordeeld]),"")</f>
        <v/>
      </c>
      <c r="D25" s="124" t="str">
        <f ca="1">'Beoordeeld begrotingsoverzicht'!E20</f>
        <v/>
      </c>
      <c r="E25" s="125" t="str">
        <f>IF(SUMIFS('8. Uitgaven betaalverzoek'!$W:$W,'8. Uitgaven betaalverzoek'!$A:$A,"&lt;&gt;""")&gt;0,SUMIFS('8. Uitgaven betaalverzoek'!$W:$W,'8. Uitgaven betaalverzoek'!$A:$A,"&lt;&gt;"""),"")</f>
        <v/>
      </c>
      <c r="F25" s="125" t="str">
        <f>IF(SUMIFS('8. Uitgaven betaalverzoek'!$X:$X,'8. Uitgaven betaalverzoek'!$A:$A,"&lt;&gt;""")&gt;0,SUMIFS('8. Uitgaven betaalverzoek'!$X:$X,'8. Uitgaven betaalverzoek'!$A:$A,"&lt;&gt;"""),"")</f>
        <v/>
      </c>
      <c r="G25" s="125" t="str">
        <f>IF(SUM(Tb_DBKostenBEO[Forfait_Bedrag])&gt;0,SUM(Tb_DBKostenBEO[Forfait_Bedrag]),"")</f>
        <v/>
      </c>
      <c r="H25" s="125" t="str">
        <f>IF(SUM(Tb_DBKostenBEO[Forfait_Bedrag_Beoordeeld])&gt;0,SUM(Tb_DBKostenBEO[Forfait_Bedrag_Beoordeeld]),"")</f>
        <v/>
      </c>
      <c r="I25" s="288" t="str">
        <f ca="1">IF(AND($E25&lt;&gt;"",I$15&lt;&gt;""),IF($C$10&lt;&gt;"",SUMIFS(SubsidieTabel_DB!$U:$U,SubsidieTabel_DB!$A:$A,I$15),SUMIFS(SubsidieTabel_DB!$H:$H,SubsidieTabel_DB!$A:$A,I$15)),"")</f>
        <v/>
      </c>
      <c r="J25" s="288" t="str">
        <f>IF(AND($E25&lt;&gt;"",J$15&lt;&gt;""),IF($C$10&lt;&gt;"",SUMIFS(SubsidieTabel_DB!$U:$U,SubsidieTabel_DB!$A:$A,J$15),SUMIFS(SubsidieTabel_DB!$H:$H,SubsidieTabel_DB!$A:$A,J$15)),"")</f>
        <v/>
      </c>
      <c r="K25" s="288" t="str">
        <f>IF(AND($E25&lt;&gt;"",K$15&lt;&gt;""),IF($C$10&lt;&gt;"",SUMIFS(SubsidieTabel_DB!$U:$U,SubsidieTabel_DB!$A:$A,K$15),SUMIFS(SubsidieTabel_DB!$H:$H,SubsidieTabel_DB!$A:$A,K$15)),"")</f>
        <v/>
      </c>
      <c r="L25" s="288" t="str">
        <f>IF(AND($E25&lt;&gt;"",L$15&lt;&gt;""),IF($C$10&lt;&gt;"",SUMIFS(SubsidieTabel_DB!$U:$U,SubsidieTabel_DB!$A:$A,L$15),SUMIFS(SubsidieTabel_DB!$H:$H,SubsidieTabel_DB!$A:$A,L$15)),"")</f>
        <v/>
      </c>
      <c r="M25" s="288" t="str">
        <f>IF(AND($E25&lt;&gt;"",M$15&lt;&gt;""),IF($C$10&lt;&gt;"",SUMIFS(SubsidieTabel_DB!$U:$U,SubsidieTabel_DB!$A:$A,M$15),SUMIFS(SubsidieTabel_DB!$H:$H,SubsidieTabel_DB!$A:$A,M$15)),"")</f>
        <v/>
      </c>
      <c r="N25" s="123" t="str">
        <f>IF(AND($E25&lt;&gt;0,N$15&lt;&gt;""),IF($C$10&lt;&gt;"",SUMIFS(SubsidieTabel_DB!$O:$O,SubsidieTabel_DB!$A:$A,N$15),SUMIFS(SubsidieTabel_DB!$H:$H,SubsidieTabel_DB!$A:$A,N$15)),"")</f>
        <v/>
      </c>
    </row>
    <row r="26" spans="1:14" s="38" customFormat="1" ht="15" customHeight="1" x14ac:dyDescent="0.25">
      <c r="A26" s="55"/>
      <c r="B26" s="193" t="s">
        <v>88</v>
      </c>
      <c r="C26" s="197">
        <f t="shared" ref="C26:H26" si="1">SUM(C24:C25)</f>
        <v>0</v>
      </c>
      <c r="D26" s="197">
        <f t="shared" ca="1" si="1"/>
        <v>0</v>
      </c>
      <c r="E26" s="197">
        <f t="shared" si="1"/>
        <v>0</v>
      </c>
      <c r="F26" s="197">
        <f t="shared" si="1"/>
        <v>0</v>
      </c>
      <c r="G26" s="197">
        <f t="shared" ca="1" si="1"/>
        <v>0</v>
      </c>
      <c r="H26" s="197">
        <f t="shared" ca="1" si="1"/>
        <v>0</v>
      </c>
      <c r="I26" s="289" t="str">
        <f ca="1">IF(SUM(I24:I25)=0,"",SUM(I24:I25))</f>
        <v/>
      </c>
      <c r="J26" s="289" t="str">
        <f t="shared" ref="J26:N26" si="2">IF(SUM(J24:J25)=0,"",SUM(J24:J25))</f>
        <v/>
      </c>
      <c r="K26" s="289" t="str">
        <f t="shared" si="2"/>
        <v/>
      </c>
      <c r="L26" s="289" t="str">
        <f t="shared" si="2"/>
        <v/>
      </c>
      <c r="M26" s="289" t="str">
        <f t="shared" si="2"/>
        <v/>
      </c>
      <c r="N26" s="224" t="str">
        <f t="shared" si="2"/>
        <v/>
      </c>
    </row>
    <row r="27" spans="1:14" s="38" customFormat="1" ht="6" customHeight="1" x14ac:dyDescent="0.25">
      <c r="A27" s="55"/>
      <c r="B27" s="52"/>
      <c r="C27" s="52"/>
      <c r="D27" s="53"/>
      <c r="E27" s="55"/>
      <c r="F27" s="55"/>
      <c r="G27" s="55"/>
      <c r="H27" s="55"/>
      <c r="I27" s="55"/>
      <c r="J27" s="55"/>
      <c r="K27" s="55"/>
      <c r="L27" s="55"/>
      <c r="M27" s="55"/>
    </row>
    <row r="28" spans="1:14" s="38" customFormat="1" ht="6" customHeight="1" x14ac:dyDescent="0.25">
      <c r="A28" s="55"/>
      <c r="B28" s="52"/>
      <c r="C28" s="54"/>
      <c r="D28" s="199"/>
      <c r="E28" s="55"/>
      <c r="F28" s="55"/>
      <c r="G28" s="55"/>
      <c r="H28" s="55"/>
      <c r="I28" s="55"/>
      <c r="J28" s="55"/>
      <c r="K28" s="55"/>
      <c r="L28" s="55"/>
      <c r="M28" s="55"/>
    </row>
    <row r="29" spans="1:14" ht="6" customHeight="1" x14ac:dyDescent="0.25">
      <c r="A29" s="52"/>
      <c r="B29" s="55"/>
      <c r="C29" s="55"/>
      <c r="D29" s="56"/>
      <c r="F29" s="52"/>
      <c r="G29" s="52"/>
      <c r="H29" s="52"/>
      <c r="I29" s="52"/>
      <c r="J29" s="52"/>
      <c r="K29" s="52"/>
      <c r="L29" s="52"/>
      <c r="M29" s="52"/>
    </row>
    <row r="30" spans="1:14" ht="15" customHeight="1" x14ac:dyDescent="0.25">
      <c r="A30" s="52"/>
      <c r="B30" s="399" t="str">
        <f>"TOTALE BEOORDEELDE UITGAVEN AANGEVRAAGD BETAALVERZOEK ("&amp;Keuze_DB_Nr&amp;")"</f>
        <v>TOTALE BEOORDEELDE UITGAVEN AANGEVRAAGD BETAALVERZOEK ()</v>
      </c>
      <c r="C30" s="400"/>
      <c r="D30" s="400"/>
      <c r="E30" s="401"/>
      <c r="F30" s="52"/>
      <c r="G30" s="52"/>
      <c r="H30" s="52"/>
      <c r="I30" s="52"/>
      <c r="J30" s="52"/>
      <c r="K30" s="52"/>
      <c r="L30" s="52"/>
      <c r="M30" s="52"/>
    </row>
    <row r="31" spans="1:14" s="38" customFormat="1" ht="15" customHeight="1" x14ac:dyDescent="0.25">
      <c r="A31" s="55"/>
      <c r="B31" s="290" t="s">
        <v>166</v>
      </c>
      <c r="C31" s="291" t="s">
        <v>202</v>
      </c>
      <c r="D31" s="291" t="s">
        <v>1</v>
      </c>
      <c r="E31" s="291" t="s">
        <v>144</v>
      </c>
      <c r="F31" s="55"/>
      <c r="G31" s="55"/>
      <c r="H31" s="55"/>
      <c r="I31" s="55"/>
      <c r="J31" s="55"/>
      <c r="K31" s="55"/>
      <c r="L31" s="55"/>
      <c r="M31" s="55"/>
    </row>
    <row r="32" spans="1:14" ht="15" customHeight="1" x14ac:dyDescent="0.25">
      <c r="A32" s="52"/>
      <c r="B32" s="107" t="str" cm="1">
        <f t="array" aca="1" ref="B32" ca="1">Activiteiten_Uniek_DB</f>
        <v/>
      </c>
      <c r="C32" s="108" t="str">
        <f ca="1">IF(B32&lt;&gt;"",SUMIFS(SubsidieTabel_DB!$S:$S,SubsidieTabel_DB!$A:$A,B32)+SUMIFS(SubsidieTabel_DB!$U:$U,SubsidieTabel_DB!$A:$A,B32),"")</f>
        <v/>
      </c>
      <c r="D32" s="109" t="str">
        <f ca="1">IFERROR(VLOOKUP(B32,Lijsten!$AD:$AE,2,0),"")</f>
        <v/>
      </c>
      <c r="E32" s="108" t="str">
        <f ca="1">IF(PRODUCT(C32,D32)&lt;&gt;0,PRODUCT(C32,D32),"")</f>
        <v/>
      </c>
      <c r="F32" s="52"/>
      <c r="G32" s="52"/>
      <c r="H32" s="52"/>
      <c r="I32" s="52"/>
      <c r="J32" s="52"/>
      <c r="K32" s="52"/>
      <c r="L32" s="52"/>
      <c r="M32" s="52"/>
    </row>
    <row r="33" spans="1:13" ht="15" customHeight="1" x14ac:dyDescent="0.25">
      <c r="A33" s="52"/>
      <c r="B33" s="107"/>
      <c r="C33" s="108" t="str">
        <f>IF(B33&lt;&gt;"",SUMIFS(SubsidieTabel_DB!$S:$S,SubsidieTabel_DB!$A:$A,B33)+SUMIFS(SubsidieTabel_DB!$U:$U,SubsidieTabel_DB!$A:$A,B33),"")</f>
        <v/>
      </c>
      <c r="D33" s="109" t="str">
        <f>IFERROR(VLOOKUP(B33,Lijsten!$AD:$AE,2,0),"")</f>
        <v/>
      </c>
      <c r="E33" s="108" t="str">
        <f t="shared" ref="E33:E39" si="3">IF(PRODUCT(C33,D33)&lt;&gt;0,PRODUCT(C33,D33),"")</f>
        <v/>
      </c>
      <c r="F33" s="52"/>
      <c r="G33" s="52"/>
      <c r="H33" s="52"/>
      <c r="I33" s="52"/>
      <c r="J33" s="52"/>
      <c r="K33" s="52"/>
      <c r="L33" s="52"/>
      <c r="M33" s="52"/>
    </row>
    <row r="34" spans="1:13" ht="15" customHeight="1" x14ac:dyDescent="0.25">
      <c r="A34" s="52"/>
      <c r="B34" s="107"/>
      <c r="C34" s="108" t="str">
        <f>IF(B34&lt;&gt;"",SUMIFS(SubsidieTabel_DB!$S:$S,SubsidieTabel_DB!$A:$A,B34)+SUMIFS(SubsidieTabel_DB!$U:$U,SubsidieTabel_DB!$A:$A,B34),"")</f>
        <v/>
      </c>
      <c r="D34" s="109" t="str">
        <f>IFERROR(VLOOKUP(B34,Lijsten!$AD:$AE,2,0),"")</f>
        <v/>
      </c>
      <c r="E34" s="108" t="str">
        <f t="shared" si="3"/>
        <v/>
      </c>
      <c r="F34" s="52"/>
      <c r="G34" s="52"/>
      <c r="H34" s="52"/>
      <c r="I34" s="52"/>
      <c r="J34" s="52"/>
      <c r="K34" s="52"/>
      <c r="L34" s="52"/>
      <c r="M34" s="52"/>
    </row>
    <row r="35" spans="1:13" ht="15" customHeight="1" x14ac:dyDescent="0.25">
      <c r="A35" s="52"/>
      <c r="B35" s="107"/>
      <c r="C35" s="108" t="str">
        <f>IF(B35&lt;&gt;"",SUMIFS(SubsidieTabel_DB!$S:$S,SubsidieTabel_DB!$A:$A,B35)+SUMIFS(SubsidieTabel_DB!$U:$U,SubsidieTabel_DB!$A:$A,B35),"")</f>
        <v/>
      </c>
      <c r="D35" s="109" t="str">
        <f>IFERROR(VLOOKUP(B35,Lijsten!$AD:$AE,2,0),"")</f>
        <v/>
      </c>
      <c r="E35" s="108" t="str">
        <f t="shared" si="3"/>
        <v/>
      </c>
      <c r="F35" s="52"/>
      <c r="G35" s="52"/>
      <c r="H35" s="52"/>
      <c r="I35" s="52"/>
      <c r="J35" s="52"/>
      <c r="K35" s="52"/>
      <c r="L35" s="52"/>
      <c r="M35" s="52"/>
    </row>
    <row r="36" spans="1:13" ht="15" customHeight="1" x14ac:dyDescent="0.25">
      <c r="A36" s="52"/>
      <c r="B36" s="107"/>
      <c r="C36" s="108" t="str">
        <f>IF(B36&lt;&gt;"",SUMIFS(SubsidieTabel_DB!$S:$S,SubsidieTabel_DB!$A:$A,B36)+SUMIFS(SubsidieTabel_DB!$U:$U,SubsidieTabel_DB!$A:$A,B36),"")</f>
        <v/>
      </c>
      <c r="D36" s="109" t="str">
        <f>IFERROR(VLOOKUP(B36,Lijsten!$AD:$AE,2,0),"")</f>
        <v/>
      </c>
      <c r="E36" s="108" t="str">
        <f t="shared" si="3"/>
        <v/>
      </c>
      <c r="F36" s="52"/>
      <c r="G36" s="52"/>
      <c r="H36" s="52"/>
      <c r="I36" s="52"/>
      <c r="J36" s="52"/>
      <c r="K36" s="52"/>
      <c r="L36" s="52"/>
      <c r="M36" s="52"/>
    </row>
    <row r="37" spans="1:13" ht="15" customHeight="1" x14ac:dyDescent="0.25">
      <c r="A37" s="52"/>
      <c r="B37" s="107"/>
      <c r="C37" s="108" t="str">
        <f>IF(B37&lt;&gt;"",SUMIFS(SubsidieTabel_DB!$S:$S,SubsidieTabel_DB!$A:$A,B37)+SUMIFS(SubsidieTabel_DB!$U:$U,SubsidieTabel_DB!$A:$A,B37),"")</f>
        <v/>
      </c>
      <c r="D37" s="109" t="str">
        <f>IFERROR(VLOOKUP(B37,Lijsten!$AD:$AE,2,0),"")</f>
        <v/>
      </c>
      <c r="E37" s="108" t="str">
        <f t="shared" si="3"/>
        <v/>
      </c>
      <c r="F37" s="52"/>
      <c r="G37" s="52"/>
      <c r="H37" s="52"/>
      <c r="I37" s="52"/>
      <c r="J37" s="52"/>
      <c r="K37" s="52"/>
      <c r="L37" s="52"/>
      <c r="M37" s="52"/>
    </row>
    <row r="38" spans="1:13" ht="15" customHeight="1" x14ac:dyDescent="0.25">
      <c r="A38" s="52"/>
      <c r="B38" s="107"/>
      <c r="C38" s="108" t="str">
        <f>IF(B38&lt;&gt;"",SUMIFS(SubsidieTabel_DB!$S:$S,SubsidieTabel_DB!$A:$A,B38)+SUMIFS(SubsidieTabel_DB!$U:$U,SubsidieTabel_DB!$A:$A,B38),"")</f>
        <v/>
      </c>
      <c r="D38" s="109" t="str">
        <f>IFERROR(VLOOKUP(B38,Lijsten!$AD:$AE,2,0),"")</f>
        <v/>
      </c>
      <c r="E38" s="108" t="str">
        <f t="shared" si="3"/>
        <v/>
      </c>
      <c r="F38" s="52"/>
      <c r="G38" s="52"/>
      <c r="H38" s="52"/>
      <c r="I38" s="52"/>
      <c r="J38" s="52"/>
      <c r="K38" s="52"/>
      <c r="L38" s="52"/>
      <c r="M38" s="52"/>
    </row>
    <row r="39" spans="1:13" ht="15" customHeight="1" x14ac:dyDescent="0.25">
      <c r="A39" s="52"/>
      <c r="B39" s="107"/>
      <c r="C39" s="108" t="str">
        <f>IF(B39&lt;&gt;"",SUMIFS(SubsidieTabel_DB!$S:$S,SubsidieTabel_DB!$A:$A,B39)+SUMIFS(SubsidieTabel_DB!$U:$U,SubsidieTabel_DB!$A:$A,B39),"")</f>
        <v/>
      </c>
      <c r="D39" s="109" t="str">
        <f>IFERROR(VLOOKUP(B39,Lijsten!$AD:$AE,2,0),"")</f>
        <v/>
      </c>
      <c r="E39" s="108" t="str">
        <f t="shared" si="3"/>
        <v/>
      </c>
      <c r="F39" s="52"/>
      <c r="G39" s="52"/>
      <c r="H39" s="52"/>
      <c r="I39" s="52"/>
      <c r="J39" s="52"/>
      <c r="K39" s="52"/>
      <c r="L39" s="52"/>
      <c r="M39" s="52"/>
    </row>
    <row r="40" spans="1:13" ht="15" customHeight="1" x14ac:dyDescent="0.25">
      <c r="A40" s="52"/>
      <c r="B40" s="113"/>
      <c r="C40" s="113"/>
      <c r="D40" s="113"/>
      <c r="E40" s="113"/>
      <c r="F40" s="52"/>
      <c r="G40" s="52"/>
      <c r="H40" s="52"/>
      <c r="I40" s="52"/>
      <c r="J40" s="52"/>
      <c r="K40" s="52"/>
      <c r="L40" s="52"/>
      <c r="M40" s="52"/>
    </row>
    <row r="41" spans="1:13" ht="15" customHeight="1" x14ac:dyDescent="0.25">
      <c r="A41" s="52"/>
      <c r="B41" s="294" t="s">
        <v>280</v>
      </c>
      <c r="C41" s="295">
        <f ca="1">SUM(C32:C39)</f>
        <v>0</v>
      </c>
      <c r="D41" s="130" t="s">
        <v>281</v>
      </c>
      <c r="E41" s="108">
        <f ca="1">IFERROR(SUMPRODUCT(D32:D39,C32:C39),0)</f>
        <v>0</v>
      </c>
      <c r="F41" s="52" t="s">
        <v>203</v>
      </c>
      <c r="G41" s="52"/>
      <c r="H41" s="52"/>
      <c r="I41" s="52"/>
      <c r="J41" s="52"/>
      <c r="K41" s="52"/>
      <c r="L41" s="52"/>
      <c r="M41" s="52"/>
    </row>
    <row r="42" spans="1:13" ht="15" customHeight="1" x14ac:dyDescent="0.25">
      <c r="A42" s="52"/>
      <c r="B42" s="52"/>
      <c r="C42" s="52"/>
      <c r="D42" s="52"/>
      <c r="E42" s="52"/>
      <c r="F42" s="52"/>
      <c r="G42" s="52"/>
      <c r="H42" s="52"/>
      <c r="I42" s="52"/>
      <c r="J42" s="52"/>
      <c r="K42" s="52"/>
      <c r="L42" s="52"/>
      <c r="M42" s="52"/>
    </row>
    <row r="43" spans="1:13" ht="15" customHeight="1" x14ac:dyDescent="0.25">
      <c r="A43" s="52"/>
      <c r="B43" s="399" t="s">
        <v>278</v>
      </c>
      <c r="C43" s="400"/>
      <c r="D43" s="400"/>
      <c r="E43" s="401"/>
      <c r="F43" s="52"/>
      <c r="G43" s="52"/>
      <c r="H43" s="52"/>
      <c r="I43" s="52"/>
      <c r="J43" s="52"/>
      <c r="K43" s="52"/>
      <c r="L43" s="52"/>
      <c r="M43" s="52"/>
    </row>
    <row r="44" spans="1:13" ht="15" customHeight="1" x14ac:dyDescent="0.25">
      <c r="A44" s="55"/>
      <c r="B44" s="290" t="s">
        <v>166</v>
      </c>
      <c r="C44" s="291" t="s">
        <v>202</v>
      </c>
      <c r="D44" s="291" t="s">
        <v>1</v>
      </c>
      <c r="E44" s="291" t="s">
        <v>144</v>
      </c>
      <c r="F44" s="55"/>
      <c r="G44" s="55"/>
      <c r="H44" s="55"/>
      <c r="I44" s="55"/>
      <c r="J44" s="55"/>
      <c r="K44" s="55"/>
      <c r="L44" s="55"/>
      <c r="M44" s="55"/>
    </row>
    <row r="45" spans="1:13" x14ac:dyDescent="0.25">
      <c r="A45" s="52"/>
      <c r="B45" s="107" t="str" cm="1">
        <f t="array" aca="1" ref="B45" ca="1">Activiteiten_Uniek_DB</f>
        <v/>
      </c>
      <c r="C45" s="108" t="str">
        <f ca="1">IF(B45&lt;&gt;"",SUMIFS(SubsidieTabel_DB!$F:$F,SubsidieTabel_DB!$A:$A,B45)+SUMIFS(SubsidieTabel_DB!$H:$H,SubsidieTabel_DB!$A:$A,B45),"")</f>
        <v/>
      </c>
      <c r="D45" s="109" t="str">
        <f ca="1">IFERROR(VLOOKUP(B45,Lijsten!$AD:$AE,2,0),"")</f>
        <v/>
      </c>
      <c r="E45" s="108" t="str">
        <f ca="1">IF(PRODUCT(C45,D45)&lt;&gt;0,PRODUCT(C45,D45),"")</f>
        <v/>
      </c>
      <c r="F45" s="52"/>
      <c r="G45" s="52"/>
      <c r="H45" s="52"/>
      <c r="I45" s="52"/>
      <c r="J45" s="52"/>
      <c r="K45" s="52"/>
      <c r="L45" s="52"/>
      <c r="M45" s="52"/>
    </row>
    <row r="46" spans="1:13" x14ac:dyDescent="0.25">
      <c r="A46" s="52"/>
      <c r="B46" s="107"/>
      <c r="C46" s="108" t="str">
        <f>IF(B46&lt;&gt;"",SUMIFS(SubsidieTabel_DB!$F:$F,SubsidieTabel_DB!$A:$A,B46)+SUMIFS(SubsidieTabel_DB!$H:$H,SubsidieTabel_DB!$A:$A,B46),"")</f>
        <v/>
      </c>
      <c r="D46" s="109" t="str">
        <f>IFERROR(VLOOKUP(B46,Lijsten!$AD:$AE,2,0),"")</f>
        <v/>
      </c>
      <c r="E46" s="108" t="str">
        <f t="shared" ref="E46:E52" si="4">IF(PRODUCT(C46,D46)&lt;&gt;0,PRODUCT(C46,D46),"")</f>
        <v/>
      </c>
      <c r="F46" s="52"/>
      <c r="G46" s="52"/>
      <c r="H46" s="52"/>
      <c r="I46" s="52"/>
      <c r="J46" s="52"/>
      <c r="K46" s="52"/>
      <c r="L46" s="52"/>
      <c r="M46" s="52"/>
    </row>
    <row r="47" spans="1:13" x14ac:dyDescent="0.25">
      <c r="A47" s="52"/>
      <c r="B47" s="107"/>
      <c r="C47" s="108" t="str">
        <f>IF(B47&lt;&gt;"",SUMIFS(SubsidieTabel_DB!$F:$F,SubsidieTabel_DB!$A:$A,B47)+SUMIFS(SubsidieTabel_DB!$H:$H,SubsidieTabel_DB!$A:$A,B47),"")</f>
        <v/>
      </c>
      <c r="D47" s="109" t="str">
        <f>IFERROR(VLOOKUP(B47,Lijsten!$AD:$AE,2,0),"")</f>
        <v/>
      </c>
      <c r="E47" s="108" t="str">
        <f t="shared" si="4"/>
        <v/>
      </c>
      <c r="F47" s="52"/>
      <c r="G47" s="52"/>
      <c r="H47" s="52"/>
      <c r="I47" s="52"/>
      <c r="J47" s="52"/>
      <c r="K47" s="52"/>
      <c r="L47" s="52"/>
      <c r="M47" s="52"/>
    </row>
    <row r="48" spans="1:13" x14ac:dyDescent="0.25">
      <c r="A48" s="52"/>
      <c r="B48" s="107"/>
      <c r="C48" s="108" t="str">
        <f>IF(B48&lt;&gt;"",SUMIFS(SubsidieTabel_DB!$F:$F,SubsidieTabel_DB!$A:$A,B48)+SUMIFS(SubsidieTabel_DB!$H:$H,SubsidieTabel_DB!$A:$A,B48),"")</f>
        <v/>
      </c>
      <c r="D48" s="109" t="str">
        <f>IFERROR(VLOOKUP(B48,Lijsten!$AD:$AE,2,0),"")</f>
        <v/>
      </c>
      <c r="E48" s="108" t="str">
        <f t="shared" si="4"/>
        <v/>
      </c>
      <c r="F48" s="52"/>
      <c r="G48" s="52"/>
      <c r="H48" s="52"/>
      <c r="I48" s="52"/>
      <c r="J48" s="52"/>
      <c r="K48" s="52"/>
      <c r="L48" s="52"/>
      <c r="M48" s="52"/>
    </row>
    <row r="49" spans="1:13" x14ac:dyDescent="0.25">
      <c r="A49" s="52"/>
      <c r="B49" s="107"/>
      <c r="C49" s="108" t="str">
        <f>IF(B49&lt;&gt;"",SUMIFS(SubsidieTabel_DB!$F:$F,SubsidieTabel_DB!$A:$A,B49)+SUMIFS(SubsidieTabel_DB!$H:$H,SubsidieTabel_DB!$A:$A,B49),"")</f>
        <v/>
      </c>
      <c r="D49" s="109" t="str">
        <f>IFERROR(VLOOKUP(B49,Lijsten!$AD:$AE,2,0),"")</f>
        <v/>
      </c>
      <c r="E49" s="108" t="str">
        <f t="shared" si="4"/>
        <v/>
      </c>
      <c r="F49" s="52"/>
      <c r="G49" s="52"/>
      <c r="H49" s="52"/>
      <c r="I49" s="52"/>
      <c r="J49" s="52"/>
      <c r="K49" s="52"/>
      <c r="L49" s="52"/>
      <c r="M49" s="52"/>
    </row>
    <row r="50" spans="1:13" x14ac:dyDescent="0.25">
      <c r="A50" s="52"/>
      <c r="B50" s="107"/>
      <c r="C50" s="108" t="str">
        <f>IF(B50&lt;&gt;"",SUMIFS(SubsidieTabel_DB!$F:$F,SubsidieTabel_DB!$A:$A,B50)+SUMIFS(SubsidieTabel_DB!$H:$H,SubsidieTabel_DB!$A:$A,B50),"")</f>
        <v/>
      </c>
      <c r="D50" s="109" t="str">
        <f>IFERROR(VLOOKUP(B50,Lijsten!$AD:$AE,2,0),"")</f>
        <v/>
      </c>
      <c r="E50" s="108" t="str">
        <f t="shared" si="4"/>
        <v/>
      </c>
      <c r="F50" s="52"/>
      <c r="G50" s="52"/>
      <c r="H50" s="52"/>
      <c r="I50" s="52"/>
      <c r="J50" s="52"/>
      <c r="K50" s="52"/>
      <c r="L50" s="52"/>
      <c r="M50" s="52"/>
    </row>
    <row r="51" spans="1:13" x14ac:dyDescent="0.25">
      <c r="A51" s="52"/>
      <c r="B51" s="107"/>
      <c r="C51" s="108" t="str">
        <f>IF(B51&lt;&gt;"",SUMIFS(SubsidieTabel_DB!$F:$F,SubsidieTabel_DB!$A:$A,B51)+SUMIFS(SubsidieTabel_DB!$H:$H,SubsidieTabel_DB!$A:$A,B51),"")</f>
        <v/>
      </c>
      <c r="D51" s="109" t="str">
        <f>IFERROR(VLOOKUP(B51,Lijsten!$AD:$AE,2,0),"")</f>
        <v/>
      </c>
      <c r="E51" s="108" t="str">
        <f t="shared" si="4"/>
        <v/>
      </c>
      <c r="F51" s="52"/>
      <c r="G51" s="52"/>
      <c r="H51" s="52"/>
      <c r="I51" s="52"/>
      <c r="J51" s="52"/>
      <c r="K51" s="52"/>
      <c r="L51" s="52"/>
      <c r="M51" s="52"/>
    </row>
    <row r="52" spans="1:13" x14ac:dyDescent="0.25">
      <c r="A52" s="52"/>
      <c r="B52" s="107"/>
      <c r="C52" s="108" t="str">
        <f>IF(B52&lt;&gt;"",SUMIFS(SubsidieTabel_DB!$F:$F,SubsidieTabel_DB!$A:$A,B52)+SUMIFS(SubsidieTabel_DB!$H:$H,SubsidieTabel_DB!$A:$A,B52),"")</f>
        <v/>
      </c>
      <c r="D52" s="109" t="str">
        <f>IFERROR(VLOOKUP(B52,Lijsten!$AD:$AE,2,0),"")</f>
        <v/>
      </c>
      <c r="E52" s="108" t="str">
        <f t="shared" si="4"/>
        <v/>
      </c>
      <c r="F52" s="52"/>
      <c r="G52" s="52"/>
      <c r="H52" s="52"/>
      <c r="I52" s="52"/>
      <c r="J52" s="52"/>
      <c r="K52" s="52"/>
      <c r="L52" s="52"/>
      <c r="M52" s="52"/>
    </row>
    <row r="53" spans="1:13" x14ac:dyDescent="0.25">
      <c r="A53" s="52"/>
      <c r="B53" s="113"/>
      <c r="C53" s="113"/>
      <c r="D53" s="113"/>
      <c r="E53" s="113"/>
      <c r="F53" s="52"/>
      <c r="G53" s="52"/>
      <c r="H53" s="52"/>
      <c r="I53" s="52"/>
      <c r="J53" s="52"/>
      <c r="K53" s="52"/>
      <c r="L53" s="52"/>
      <c r="M53" s="52"/>
    </row>
    <row r="54" spans="1:13" x14ac:dyDescent="0.25">
      <c r="A54" s="52"/>
      <c r="B54" s="294" t="s">
        <v>280</v>
      </c>
      <c r="C54" s="295">
        <f ca="1">SUM(C45:C52)</f>
        <v>0</v>
      </c>
      <c r="D54" s="130" t="s">
        <v>281</v>
      </c>
      <c r="E54" s="108">
        <f ca="1">IFERROR(SUMPRODUCT(D45:D52,C45:C52),0)</f>
        <v>0</v>
      </c>
      <c r="F54" s="52" t="s">
        <v>277</v>
      </c>
      <c r="G54" s="52"/>
      <c r="H54" s="52"/>
      <c r="I54" s="52"/>
      <c r="J54" s="52"/>
      <c r="K54" s="52"/>
      <c r="L54" s="52"/>
      <c r="M54" s="52"/>
    </row>
    <row r="55" spans="1:13" x14ac:dyDescent="0.25">
      <c r="A55" s="52"/>
      <c r="B55" s="52"/>
      <c r="C55" s="52"/>
      <c r="D55" s="52"/>
      <c r="E55" s="52"/>
      <c r="F55" s="52"/>
      <c r="G55" s="52"/>
      <c r="H55" s="52"/>
      <c r="I55" s="52"/>
      <c r="J55" s="52"/>
      <c r="K55" s="52"/>
      <c r="L55" s="52"/>
      <c r="M55" s="52"/>
    </row>
    <row r="56" spans="1:13" x14ac:dyDescent="0.25">
      <c r="A56" s="52"/>
      <c r="B56" s="52"/>
      <c r="C56" s="52"/>
      <c r="D56" s="52"/>
      <c r="E56" s="52"/>
      <c r="F56" s="52"/>
      <c r="G56" s="52"/>
      <c r="H56" s="52"/>
      <c r="I56" s="52"/>
      <c r="J56" s="52"/>
      <c r="K56" s="52"/>
      <c r="L56" s="52"/>
      <c r="M56" s="52"/>
    </row>
    <row r="57" spans="1:13" hidden="1" x14ac:dyDescent="0.25">
      <c r="A57" s="52"/>
      <c r="B57" s="52"/>
      <c r="C57" s="52"/>
      <c r="D57" s="52"/>
      <c r="E57" s="52"/>
      <c r="F57" s="52"/>
      <c r="G57" s="52"/>
      <c r="H57" s="52"/>
      <c r="I57" s="52"/>
      <c r="J57" s="52"/>
      <c r="K57" s="52"/>
      <c r="L57" s="52"/>
      <c r="M57" s="52"/>
    </row>
    <row r="81" s="37" customFormat="1" hidden="1" x14ac:dyDescent="0.25"/>
    <row r="82" s="37" customFormat="1" hidden="1" x14ac:dyDescent="0.25"/>
    <row r="83" s="37" customFormat="1" hidden="1" x14ac:dyDescent="0.25"/>
    <row r="84" s="37" customFormat="1" hidden="1" x14ac:dyDescent="0.25"/>
  </sheetData>
  <sheetProtection algorithmName="SHA-512" hashValue="g6IFYT6f8Af3l2jHKK01zv7Lm33Jw4on9C1A3IcULrOZk3InGNhoVsj10H1lfRM/Wlo3j+nxGe2dVMbk7SbrfA==" saltValue="OsNvkq4416AgwORWQ/MxOQ==" spinCount="100000" sheet="1" objects="1" scenarios="1"/>
  <mergeCells count="13">
    <mergeCell ref="B43:E43"/>
    <mergeCell ref="B30:E30"/>
    <mergeCell ref="G13:H13"/>
    <mergeCell ref="C10:E10"/>
    <mergeCell ref="C11:E11"/>
    <mergeCell ref="C12:E12"/>
    <mergeCell ref="C13:E13"/>
    <mergeCell ref="C8:E8"/>
    <mergeCell ref="C2:E2"/>
    <mergeCell ref="C3:E3"/>
    <mergeCell ref="C4:E4"/>
    <mergeCell ref="C5:E5"/>
    <mergeCell ref="C6:E6"/>
  </mergeCells>
  <conditionalFormatting sqref="I15:M15">
    <cfRule type="expression" dxfId="5" priority="8">
      <formula>I15&lt;&gt;""</formula>
    </cfRule>
  </conditionalFormatting>
  <conditionalFormatting sqref="I16:N23">
    <cfRule type="expression" dxfId="4" priority="4">
      <formula>I16&lt;&gt;""</formula>
    </cfRule>
  </conditionalFormatting>
  <conditionalFormatting sqref="I24:N24">
    <cfRule type="expression" dxfId="3" priority="2">
      <formula>I24&lt;&gt;""</formula>
    </cfRule>
  </conditionalFormatting>
  <conditionalFormatting sqref="I25:N25">
    <cfRule type="expression" dxfId="2" priority="3">
      <formula>I25&lt;&gt;""</formula>
    </cfRule>
  </conditionalFormatting>
  <conditionalFormatting sqref="I26:N26">
    <cfRule type="expression" dxfId="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90.42578125" bestFit="1"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10" max="10" width="90.42578125" bestFit="1" customWidth="1"/>
    <col min="11" max="11" width="54.5703125" bestFit="1" customWidth="1"/>
    <col min="12" max="12" width="12.7109375" bestFit="1" customWidth="1"/>
    <col min="13" max="13" width="17.7109375" customWidth="1"/>
    <col min="14" max="14" width="13.7109375" customWidth="1"/>
    <col min="15" max="15" width="12.5703125" customWidth="1"/>
    <col min="16" max="16" width="14" customWidth="1"/>
    <col min="17" max="17" width="13" customWidth="1"/>
    <col min="19" max="19" width="14.140625" customWidth="1"/>
    <col min="20" max="20" width="12.7109375" customWidth="1"/>
    <col min="21" max="21" width="11.5703125" customWidth="1"/>
    <col min="22" max="22" width="11.140625" customWidth="1"/>
    <col min="23" max="23" width="13.28515625" customWidth="1"/>
    <col min="24" max="24" width="12" customWidth="1"/>
    <col min="26" max="26" width="13.5703125" customWidth="1"/>
    <col min="33" max="33" width="10.5703125" customWidth="1"/>
    <col min="40" max="40" width="11" customWidth="1"/>
  </cols>
  <sheetData>
    <row r="1" spans="1:40" ht="150" x14ac:dyDescent="0.25">
      <c r="A1" s="323" t="s">
        <v>371</v>
      </c>
      <c r="B1" s="190"/>
      <c r="J1" s="323" t="s">
        <v>375</v>
      </c>
    </row>
    <row r="2" spans="1:40" ht="3" customHeight="1" x14ac:dyDescent="0.25"/>
    <row r="3" spans="1:40" ht="60" x14ac:dyDescent="0.25">
      <c r="A3" s="37" t="s">
        <v>89</v>
      </c>
      <c r="B3" s="37" t="s">
        <v>82</v>
      </c>
      <c r="C3" s="37" t="s">
        <v>204</v>
      </c>
      <c r="D3" s="37" t="s">
        <v>172</v>
      </c>
      <c r="E3" s="37" t="s">
        <v>173</v>
      </c>
      <c r="F3" s="37" t="s">
        <v>79</v>
      </c>
      <c r="G3" s="37" t="s">
        <v>80</v>
      </c>
      <c r="J3" s="178" t="s">
        <v>89</v>
      </c>
      <c r="K3" s="178" t="s">
        <v>272</v>
      </c>
      <c r="L3" s="178" t="s">
        <v>361</v>
      </c>
      <c r="M3" s="324" t="s">
        <v>8</v>
      </c>
      <c r="N3" s="178" t="s">
        <v>91</v>
      </c>
      <c r="O3" s="178" t="s">
        <v>28</v>
      </c>
      <c r="P3" s="178" t="s">
        <v>27</v>
      </c>
      <c r="Q3" s="178" t="s">
        <v>11</v>
      </c>
      <c r="R3" s="178" t="s">
        <v>107</v>
      </c>
      <c r="S3" s="178" t="s">
        <v>106</v>
      </c>
      <c r="T3" s="178" t="s">
        <v>3</v>
      </c>
      <c r="U3" s="324" t="s">
        <v>7</v>
      </c>
      <c r="V3" s="324" t="s">
        <v>5</v>
      </c>
      <c r="W3" s="324" t="s">
        <v>52</v>
      </c>
      <c r="X3" s="324" t="s">
        <v>307</v>
      </c>
      <c r="Y3" s="324" t="s">
        <v>53</v>
      </c>
      <c r="Z3" s="324" t="s">
        <v>43</v>
      </c>
      <c r="AA3" s="178" t="s">
        <v>220</v>
      </c>
      <c r="AB3" s="178" t="s">
        <v>221</v>
      </c>
      <c r="AC3" s="178" t="s">
        <v>222</v>
      </c>
      <c r="AD3" s="178" t="s">
        <v>223</v>
      </c>
      <c r="AE3" s="178" t="s">
        <v>224</v>
      </c>
      <c r="AF3" s="178" t="s">
        <v>312</v>
      </c>
      <c r="AG3" s="178" t="s">
        <v>153</v>
      </c>
      <c r="AH3" s="178" t="s">
        <v>154</v>
      </c>
      <c r="AI3" s="178" t="s">
        <v>155</v>
      </c>
      <c r="AJ3" s="178" t="s">
        <v>156</v>
      </c>
      <c r="AK3" s="178" t="s">
        <v>157</v>
      </c>
      <c r="AL3" s="178" t="s">
        <v>158</v>
      </c>
      <c r="AM3" s="178" t="s">
        <v>159</v>
      </c>
      <c r="AN3" s="178" t="s">
        <v>160</v>
      </c>
    </row>
    <row r="4" spans="1:40" x14ac:dyDescent="0.25">
      <c r="A4" s="337" t="s">
        <v>392</v>
      </c>
      <c r="C4">
        <v>1</v>
      </c>
      <c r="D4">
        <v>1</v>
      </c>
      <c r="F4" s="79">
        <v>125000</v>
      </c>
      <c r="G4" s="79">
        <v>4180684</v>
      </c>
      <c r="J4" s="337" t="s">
        <v>392</v>
      </c>
      <c r="K4" t="s">
        <v>383</v>
      </c>
      <c r="L4" s="71">
        <v>1</v>
      </c>
      <c r="M4">
        <v>1</v>
      </c>
      <c r="N4" t="str">
        <f>IFERROR(IF(VLOOKUP(Tb_Activiteiten[[#This Row],[Openstelling]],Tb_Openstelling[],2,0)=1,1,""),"")</f>
        <v/>
      </c>
      <c r="O4">
        <v>1</v>
      </c>
      <c r="P4">
        <v>1</v>
      </c>
      <c r="Q4">
        <v>1</v>
      </c>
      <c r="U4">
        <v>1</v>
      </c>
      <c r="V4">
        <v>1</v>
      </c>
      <c r="AA4" t="str">
        <f>IF(ISNUMBER(FIND("arbeid",Methode_Keuze)),"",IF(ISNUMBER(FIND("arbeid",Methode_Keuze)),"",IF(Tb_Activiteiten[[#This Row],[Loonkosten]]=1,Tb_Activiteiten[[#Headers],[Loonkosten]],"")))</f>
        <v>Loonkosten</v>
      </c>
      <c r="AB4" t="str">
        <f>IF(ISNUMBER(FIND("arbeid",Methode_Keuze)),"",IF(ISNUMBER(FIND("arbeid",Methode_Keuze)),"",IF(Tb_Activiteiten[[#This Row],[Eigen arbeid]]=1,Tb_Activiteiten[[#Headers],[Eigen arbeid]],"")))</f>
        <v>Eigen arbeid</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Arbeidskosten</v>
      </c>
      <c r="AH4" t="str">
        <f>IF(ISNUMBER(FIND("arbeid",Methode_Keuze)),"",IF(ISNUMBER(FIND("arbeid",Methode_Keuze)),"",IF(Tb_Activiteiten[[#This Row],[Arbeidskosten op basis van IKS]]=1,Tb_Activiteiten[[#Headers],[Arbeidskosten op basis van IKS]],"")))</f>
        <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Grondkosten</v>
      </c>
      <c r="AL4" t="str">
        <f>IF(ISNUMBER(FIND("overige",Methode_Keuze)),"",IF(Tb_Activiteiten[[#This Row],[Bijdrage in natura (overige)]]=1,Tb_Activiteiten[[#Headers],[Bijdrage in natura (overige)]],""))</f>
        <v/>
      </c>
      <c r="AM4" t="str">
        <f>IF(ISNUMBER(FIND("overige",Methode_Keuze)),"",IF(Tb_Activiteiten[[#This Row],[Bijdrage in natura (vrijwilligers)]]=1,Tb_Activiteiten[[#Headers],[Bijdrage in natura (vrijwilligers)]],""))</f>
        <v/>
      </c>
      <c r="AN4" t="str">
        <f>IF(ISNUMBER(FIND("overige",Methode_Keuze)),"",IF(Tb_Activiteiten[[#This Row],[Afschrijvingskosten]]=1,Tb_Activiteiten[[#Headers],[Afschrijvingskosten]],""))</f>
        <v/>
      </c>
    </row>
    <row r="5" spans="1:40" x14ac:dyDescent="0.25">
      <c r="A5" s="337" t="s">
        <v>391</v>
      </c>
      <c r="C5">
        <v>1</v>
      </c>
      <c r="D5">
        <v>1</v>
      </c>
      <c r="F5" s="79">
        <v>125000</v>
      </c>
      <c r="G5" s="79">
        <v>4180684</v>
      </c>
      <c r="J5" s="337" t="s">
        <v>392</v>
      </c>
      <c r="K5" t="s">
        <v>384</v>
      </c>
      <c r="L5" s="71">
        <v>0.7</v>
      </c>
      <c r="M5">
        <v>1</v>
      </c>
      <c r="N5" t="str">
        <f>IFERROR(IF(VLOOKUP(Tb_Activiteiten[[#This Row],[Openstelling]],Tb_Openstelling[],2,0)=1,1,""),"")</f>
        <v/>
      </c>
      <c r="O5">
        <v>1</v>
      </c>
      <c r="P5">
        <v>1</v>
      </c>
      <c r="Q5">
        <v>1</v>
      </c>
      <c r="U5">
        <v>1</v>
      </c>
      <c r="V5">
        <v>1</v>
      </c>
      <c r="AA5" t="str">
        <f>IF(ISNUMBER(FIND("arbeid",Methode_Keuze)),"",IF(ISNUMBER(FIND("arbeid",Methode_Keuze)),"",IF(Tb_Activiteiten[[#This Row],[Loonkosten]]=1,Tb_Activiteiten[[#Headers],[Loonkosten]],"")))</f>
        <v>Loonkosten</v>
      </c>
      <c r="AB5" t="str">
        <f>IF(ISNUMBER(FIND("arbeid",Methode_Keuze)),"",IF(ISNUMBER(FIND("arbeid",Methode_Keuze)),"",IF(Tb_Activiteiten[[#This Row],[Eigen arbeid]]=1,Tb_Activiteiten[[#Headers],[Eigen arbeid]],"")))</f>
        <v>Eigen arbeid</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Arbeidskosten</v>
      </c>
      <c r="AH5" t="str">
        <f>IF(ISNUMBER(FIND("arbeid",Methode_Keuze)),"",IF(ISNUMBER(FIND("arbeid",Methode_Keuze)),"",IF(Tb_Activiteiten[[#This Row],[Arbeidskosten op basis van IKS]]=1,Tb_Activiteiten[[#Headers],[Arbeidskosten op basis van IKS]],"")))</f>
        <v/>
      </c>
      <c r="AI5" t="str">
        <f>IF(ISNUMBER(FIND("overige",Methode_Keuze)),"",IF(Tb_Activiteiten[[#This Row],[Kosten derden exclusief btw]]=1,Tb_Activiteiten[[#Headers],[Kosten derden exclusief btw]],""))</f>
        <v>Kosten derden exclusief btw</v>
      </c>
      <c r="AJ5" t="str">
        <f>IF(ISNUMBER(FIND("overige",Methode_Keuze)),"",IF(Tb_Activiteiten[[#This Row],[Niet verrekenbare btw]]=1,Tb_Activiteiten[[#Headers],[Niet verrekenbare btw]],""))</f>
        <v>Niet verrekenbare btw</v>
      </c>
      <c r="AK5" t="str">
        <f>IF(ISNUMBER(FIND("overige",Methode_Keuze)),"",IF(Tb_Activiteiten[[#This Row],[Grondkosten]]=1,Tb_Activiteiten[[#Headers],[Grondkosten]],""))</f>
        <v>Grondkosten</v>
      </c>
      <c r="AL5" t="str">
        <f>IF(ISNUMBER(FIND("overige",Methode_Keuze)),"",IF(Tb_Activiteiten[[#This Row],[Bijdrage in natura (overige)]]=1,Tb_Activiteiten[[#Headers],[Bijdrage in natura (overige)]],""))</f>
        <v/>
      </c>
      <c r="AM5" t="str">
        <f>IF(ISNUMBER(FIND("overige",Methode_Keuze)),"",IF(Tb_Activiteiten[[#This Row],[Bijdrage in natura (vrijwilligers)]]=1,Tb_Activiteiten[[#Headers],[Bijdrage in natura (vrijwilligers)]],""))</f>
        <v/>
      </c>
      <c r="AN5" t="str">
        <f>IF(ISNUMBER(FIND("overige",Methode_Keuze)),"",IF(Tb_Activiteiten[[#This Row],[Afschrijvingskosten]]=1,Tb_Activiteiten[[#Headers],[Afschrijvingskosten]],""))</f>
        <v/>
      </c>
    </row>
    <row r="6" spans="1:40" x14ac:dyDescent="0.25">
      <c r="A6" s="337" t="s">
        <v>385</v>
      </c>
      <c r="C6">
        <v>1</v>
      </c>
      <c r="F6" s="79">
        <v>200000</v>
      </c>
      <c r="G6" s="79">
        <v>9249132</v>
      </c>
      <c r="J6" s="337" t="s">
        <v>392</v>
      </c>
      <c r="K6" t="s">
        <v>393</v>
      </c>
      <c r="L6" s="71">
        <v>1</v>
      </c>
      <c r="M6">
        <v>1</v>
      </c>
      <c r="N6" t="str">
        <f>IFERROR(IF(VLOOKUP(Tb_Activiteiten[[#This Row],[Openstelling]],Tb_Openstelling[],2,0)=1,1,""),"")</f>
        <v/>
      </c>
      <c r="O6">
        <v>1</v>
      </c>
      <c r="P6">
        <v>1</v>
      </c>
      <c r="Q6">
        <v>1</v>
      </c>
      <c r="U6">
        <v>1</v>
      </c>
      <c r="V6">
        <v>1</v>
      </c>
      <c r="AA6" t="str">
        <f>IF(ISNUMBER(FIND("arbeid",Methode_Keuze)),"",IF(ISNUMBER(FIND("arbeid",Methode_Keuze)),"",IF(Tb_Activiteiten[[#This Row],[Loonkosten]]=1,Tb_Activiteiten[[#Headers],[Loonkosten]],"")))</f>
        <v>Loonkosten</v>
      </c>
      <c r="AB6" t="str">
        <f>IF(ISNUMBER(FIND("arbeid",Methode_Keuze)),"",IF(ISNUMBER(FIND("arbeid",Methode_Keuze)),"",IF(Tb_Activiteiten[[#This Row],[Eigen arbeid]]=1,Tb_Activiteiten[[#Headers],[Eigen arbeid]],"")))</f>
        <v>Eigen arbeid</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Arbeidskosten</v>
      </c>
      <c r="AH6" t="str">
        <f>IF(ISNUMBER(FIND("arbeid",Methode_Keuze)),"",IF(ISNUMBER(FIND("arbeid",Methode_Keuze)),"",IF(Tb_Activiteiten[[#This Row],[Arbeidskosten op basis van IKS]]=1,Tb_Activiteiten[[#Headers],[Arbeidskosten op basis van IKS]],"")))</f>
        <v/>
      </c>
      <c r="AI6" t="str">
        <f>IF(ISNUMBER(FIND("overige",Methode_Keuze)),"",IF(Tb_Activiteiten[[#This Row],[Kosten derden exclusief btw]]=1,Tb_Activiteiten[[#Headers],[Kosten derden exclusief btw]],""))</f>
        <v>Kosten derden exclusief btw</v>
      </c>
      <c r="AJ6" t="str">
        <f>IF(ISNUMBER(FIND("overige",Methode_Keuze)),"",IF(Tb_Activiteiten[[#This Row],[Niet verrekenbare btw]]=1,Tb_Activiteiten[[#Headers],[Niet verrekenbare btw]],""))</f>
        <v>Niet verrekenbare btw</v>
      </c>
      <c r="AK6" t="str">
        <f>IF(ISNUMBER(FIND("overige",Methode_Keuze)),"",IF(Tb_Activiteiten[[#This Row],[Grondkosten]]=1,Tb_Activiteiten[[#Headers],[Grondkosten]],""))</f>
        <v>Grondkosten</v>
      </c>
      <c r="AL6" t="str">
        <f>IF(ISNUMBER(FIND("overige",Methode_Keuze)),"",IF(Tb_Activiteiten[[#This Row],[Bijdrage in natura (overige)]]=1,Tb_Activiteiten[[#Headers],[Bijdrage in natura (overige)]],""))</f>
        <v/>
      </c>
      <c r="AM6" t="str">
        <f>IF(ISNUMBER(FIND("overige",Methode_Keuze)),"",IF(Tb_Activiteiten[[#This Row],[Bijdrage in natura (vrijwilligers)]]=1,Tb_Activiteiten[[#Headers],[Bijdrage in natura (vrijwilligers)]],""))</f>
        <v/>
      </c>
      <c r="AN6" t="str">
        <f>IF(ISNUMBER(FIND("overige",Methode_Keuze)),"",IF(Tb_Activiteiten[[#This Row],[Afschrijvingskosten]]=1,Tb_Activiteiten[[#Headers],[Afschrijvingskosten]],""))</f>
        <v/>
      </c>
    </row>
    <row r="7" spans="1:40" x14ac:dyDescent="0.25">
      <c r="A7" s="337" t="s">
        <v>386</v>
      </c>
      <c r="C7">
        <v>1</v>
      </c>
      <c r="D7">
        <v>1</v>
      </c>
      <c r="F7" s="79">
        <v>200000</v>
      </c>
      <c r="G7" s="79">
        <v>700000</v>
      </c>
      <c r="J7" s="337" t="s">
        <v>391</v>
      </c>
      <c r="K7" t="s">
        <v>383</v>
      </c>
      <c r="L7" s="71">
        <v>1</v>
      </c>
      <c r="M7">
        <v>1</v>
      </c>
      <c r="N7" t="str">
        <f>IFERROR(IF(VLOOKUP(Tb_Activiteiten[[#This Row],[Openstelling]],Tb_Openstelling[],2,0)=1,1,""),"")</f>
        <v/>
      </c>
      <c r="O7">
        <v>1</v>
      </c>
      <c r="P7">
        <v>1</v>
      </c>
      <c r="Q7">
        <v>1</v>
      </c>
      <c r="U7">
        <v>1</v>
      </c>
      <c r="V7">
        <v>1</v>
      </c>
      <c r="AA7" t="str">
        <f>IF(ISNUMBER(FIND("arbeid",Methode_Keuze)),"",IF(ISNUMBER(FIND("arbeid",Methode_Keuze)),"",IF(Tb_Activiteiten[[#This Row],[Loonkosten]]=1,Tb_Activiteiten[[#Headers],[Loonkosten]],"")))</f>
        <v>Loonkosten</v>
      </c>
      <c r="AB7" t="str">
        <f>IF(ISNUMBER(FIND("arbeid",Methode_Keuze)),"",IF(ISNUMBER(FIND("arbeid",Methode_Keuze)),"",IF(Tb_Activiteiten[[#This Row],[Eigen arbeid]]=1,Tb_Activiteiten[[#Headers],[Eigen arbeid]],"")))</f>
        <v>Eigen arbeid</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Arbeidskosten</v>
      </c>
      <c r="AH7" t="str">
        <f>IF(ISNUMBER(FIND("arbeid",Methode_Keuze)),"",IF(ISNUMBER(FIND("arbeid",Methode_Keuze)),"",IF(Tb_Activiteiten[[#This Row],[Arbeidskosten op basis van IKS]]=1,Tb_Activiteiten[[#Headers],[Arbeidskosten op basis van IKS]],"")))</f>
        <v/>
      </c>
      <c r="AI7" t="str">
        <f>IF(ISNUMBER(FIND("overige",Methode_Keuze)),"",IF(Tb_Activiteiten[[#This Row],[Kosten derden exclusief btw]]=1,Tb_Activiteiten[[#Headers],[Kosten derden exclusief btw]],""))</f>
        <v>Kosten derden exclusief btw</v>
      </c>
      <c r="AJ7" t="str">
        <f>IF(ISNUMBER(FIND("overige",Methode_Keuze)),"",IF(Tb_Activiteiten[[#This Row],[Niet verrekenbare btw]]=1,Tb_Activiteiten[[#Headers],[Niet verrekenbare btw]],""))</f>
        <v>Niet verrekenbare btw</v>
      </c>
      <c r="AK7" t="str">
        <f>IF(ISNUMBER(FIND("overige",Methode_Keuze)),"",IF(Tb_Activiteiten[[#This Row],[Grondkosten]]=1,Tb_Activiteiten[[#Headers],[Grondkosten]],""))</f>
        <v>Grondkosten</v>
      </c>
      <c r="AL7" t="str">
        <f>IF(ISNUMBER(FIND("overige",Methode_Keuze)),"",IF(Tb_Activiteiten[[#This Row],[Bijdrage in natura (overige)]]=1,Tb_Activiteiten[[#Headers],[Bijdrage in natura (overige)]],""))</f>
        <v/>
      </c>
      <c r="AM7" t="str">
        <f>IF(ISNUMBER(FIND("overige",Methode_Keuze)),"",IF(Tb_Activiteiten[[#This Row],[Bijdrage in natura (vrijwilligers)]]=1,Tb_Activiteiten[[#Headers],[Bijdrage in natura (vrijwilligers)]],""))</f>
        <v/>
      </c>
      <c r="AN7" t="str">
        <f>IF(ISNUMBER(FIND("overige",Methode_Keuze)),"",IF(Tb_Activiteiten[[#This Row],[Afschrijvingskosten]]=1,Tb_Activiteiten[[#Headers],[Afschrijvingskosten]],""))</f>
        <v/>
      </c>
    </row>
    <row r="8" spans="1:40" x14ac:dyDescent="0.25">
      <c r="A8" s="337" t="s">
        <v>387</v>
      </c>
      <c r="C8">
        <v>1</v>
      </c>
      <c r="D8">
        <v>1</v>
      </c>
      <c r="F8" s="79">
        <v>1000000</v>
      </c>
      <c r="G8" s="79">
        <v>2750000</v>
      </c>
      <c r="J8" s="337" t="s">
        <v>391</v>
      </c>
      <c r="K8" t="s">
        <v>384</v>
      </c>
      <c r="L8" s="71">
        <v>0.7</v>
      </c>
      <c r="M8">
        <v>1</v>
      </c>
      <c r="N8" t="str">
        <f>IFERROR(IF(VLOOKUP(Tb_Activiteiten[[#This Row],[Openstelling]],Tb_Openstelling[],2,0)=1,1,""),"")</f>
        <v/>
      </c>
      <c r="O8">
        <v>1</v>
      </c>
      <c r="P8">
        <v>1</v>
      </c>
      <c r="Q8">
        <v>1</v>
      </c>
      <c r="U8">
        <v>1</v>
      </c>
      <c r="V8">
        <v>1</v>
      </c>
      <c r="AA8" t="str">
        <f>IF(ISNUMBER(FIND("arbeid",Methode_Keuze)),"",IF(ISNUMBER(FIND("arbeid",Methode_Keuze)),"",IF(Tb_Activiteiten[[#This Row],[Loonkosten]]=1,Tb_Activiteiten[[#Headers],[Loonkosten]],"")))</f>
        <v>Loonkosten</v>
      </c>
      <c r="AB8" t="str">
        <f>IF(ISNUMBER(FIND("arbeid",Methode_Keuze)),"",IF(ISNUMBER(FIND("arbeid",Methode_Keuze)),"",IF(Tb_Activiteiten[[#This Row],[Eigen arbeid]]=1,Tb_Activiteiten[[#Headers],[Eigen arbeid]],"")))</f>
        <v>Eigen arbeid</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Arbeidskosten</v>
      </c>
      <c r="AH8" t="str">
        <f>IF(ISNUMBER(FIND("arbeid",Methode_Keuze)),"",IF(ISNUMBER(FIND("arbeid",Methode_Keuze)),"",IF(Tb_Activiteiten[[#This Row],[Arbeidskosten op basis van IKS]]=1,Tb_Activiteiten[[#Headers],[Arbeidskosten op basis van IKS]],"")))</f>
        <v/>
      </c>
      <c r="AI8" t="str">
        <f>IF(ISNUMBER(FIND("overige",Methode_Keuze)),"",IF(Tb_Activiteiten[[#This Row],[Kosten derden exclusief btw]]=1,Tb_Activiteiten[[#Headers],[Kosten derden exclusief btw]],""))</f>
        <v>Kosten derden exclusief btw</v>
      </c>
      <c r="AJ8" t="str">
        <f>IF(ISNUMBER(FIND("overige",Methode_Keuze)),"",IF(Tb_Activiteiten[[#This Row],[Niet verrekenbare btw]]=1,Tb_Activiteiten[[#Headers],[Niet verrekenbare btw]],""))</f>
        <v>Niet verrekenbare btw</v>
      </c>
      <c r="AK8" t="str">
        <f>IF(ISNUMBER(FIND("overige",Methode_Keuze)),"",IF(Tb_Activiteiten[[#This Row],[Grondkosten]]=1,Tb_Activiteiten[[#Headers],[Grondkosten]],""))</f>
        <v>Grondkosten</v>
      </c>
      <c r="AL8" t="str">
        <f>IF(ISNUMBER(FIND("overige",Methode_Keuze)),"",IF(Tb_Activiteiten[[#This Row],[Bijdrage in natura (overige)]]=1,Tb_Activiteiten[[#Headers],[Bijdrage in natura (overige)]],""))</f>
        <v/>
      </c>
      <c r="AM8" t="str">
        <f>IF(ISNUMBER(FIND("overige",Methode_Keuze)),"",IF(Tb_Activiteiten[[#This Row],[Bijdrage in natura (vrijwilligers)]]=1,Tb_Activiteiten[[#Headers],[Bijdrage in natura (vrijwilligers)]],""))</f>
        <v/>
      </c>
      <c r="AN8" t="str">
        <f>IF(ISNUMBER(FIND("overige",Methode_Keuze)),"",IF(Tb_Activiteiten[[#This Row],[Afschrijvingskosten]]=1,Tb_Activiteiten[[#Headers],[Afschrijvingskosten]],""))</f>
        <v/>
      </c>
    </row>
    <row r="9" spans="1:40" x14ac:dyDescent="0.25">
      <c r="A9" s="337" t="s">
        <v>388</v>
      </c>
      <c r="C9">
        <v>1</v>
      </c>
      <c r="D9">
        <v>1</v>
      </c>
      <c r="F9" s="79">
        <v>1000000</v>
      </c>
      <c r="G9" s="79">
        <v>3000000</v>
      </c>
      <c r="J9" s="337" t="s">
        <v>391</v>
      </c>
      <c r="K9" t="s">
        <v>393</v>
      </c>
      <c r="L9" s="71">
        <v>1</v>
      </c>
      <c r="M9">
        <v>1</v>
      </c>
      <c r="N9" t="str">
        <f>IFERROR(IF(VLOOKUP(Tb_Activiteiten[[#This Row],[Openstelling]],Tb_Openstelling[],2,0)=1,1,""),"")</f>
        <v/>
      </c>
      <c r="O9">
        <v>1</v>
      </c>
      <c r="P9">
        <v>1</v>
      </c>
      <c r="Q9">
        <v>1</v>
      </c>
      <c r="U9">
        <v>1</v>
      </c>
      <c r="V9">
        <v>1</v>
      </c>
      <c r="AA9" t="str">
        <f>IF(ISNUMBER(FIND("arbeid",Methode_Keuze)),"",IF(ISNUMBER(FIND("arbeid",Methode_Keuze)),"",IF(Tb_Activiteiten[[#This Row],[Loonkosten]]=1,Tb_Activiteiten[[#Headers],[Loonkosten]],"")))</f>
        <v>Loonkosten</v>
      </c>
      <c r="AB9" t="str">
        <f>IF(ISNUMBER(FIND("arbeid",Methode_Keuze)),"",IF(ISNUMBER(FIND("arbeid",Methode_Keuze)),"",IF(Tb_Activiteiten[[#This Row],[Eigen arbeid]]=1,Tb_Activiteiten[[#Headers],[Eigen arbeid]],"")))</f>
        <v>Eigen arbeid</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Arbeidskosten</v>
      </c>
      <c r="AH9" t="str">
        <f>IF(ISNUMBER(FIND("arbeid",Methode_Keuze)),"",IF(ISNUMBER(FIND("arbeid",Methode_Keuze)),"",IF(Tb_Activiteiten[[#This Row],[Arbeidskosten op basis van IKS]]=1,Tb_Activiteiten[[#Headers],[Arbeidskosten op basis van IKS]],"")))</f>
        <v/>
      </c>
      <c r="AI9" t="str">
        <f>IF(ISNUMBER(FIND("overige",Methode_Keuze)),"",IF(Tb_Activiteiten[[#This Row],[Kosten derden exclusief btw]]=1,Tb_Activiteiten[[#Headers],[Kosten derden exclusief btw]],""))</f>
        <v>Kosten derden exclusief btw</v>
      </c>
      <c r="AJ9" t="str">
        <f>IF(ISNUMBER(FIND("overige",Methode_Keuze)),"",IF(Tb_Activiteiten[[#This Row],[Niet verrekenbare btw]]=1,Tb_Activiteiten[[#Headers],[Niet verrekenbare btw]],""))</f>
        <v>Niet verrekenbare btw</v>
      </c>
      <c r="AK9" t="str">
        <f>IF(ISNUMBER(FIND("overige",Methode_Keuze)),"",IF(Tb_Activiteiten[[#This Row],[Grondkosten]]=1,Tb_Activiteiten[[#Headers],[Grondkosten]],""))</f>
        <v>Grondkosten</v>
      </c>
      <c r="AL9" t="str">
        <f>IF(ISNUMBER(FIND("overige",Methode_Keuze)),"",IF(Tb_Activiteiten[[#This Row],[Bijdrage in natura (overige)]]=1,Tb_Activiteiten[[#Headers],[Bijdrage in natura (overige)]],""))</f>
        <v/>
      </c>
      <c r="AM9" t="str">
        <f>IF(ISNUMBER(FIND("overige",Methode_Keuze)),"",IF(Tb_Activiteiten[[#This Row],[Bijdrage in natura (vrijwilligers)]]=1,Tb_Activiteiten[[#Headers],[Bijdrage in natura (vrijwilligers)]],""))</f>
        <v/>
      </c>
      <c r="AN9" t="str">
        <f>IF(ISNUMBER(FIND("overige",Methode_Keuze)),"",IF(Tb_Activiteiten[[#This Row],[Afschrijvingskosten]]=1,Tb_Activiteiten[[#Headers],[Afschrijvingskosten]],""))</f>
        <v/>
      </c>
    </row>
    <row r="10" spans="1:40" x14ac:dyDescent="0.25">
      <c r="A10" s="337" t="s">
        <v>389</v>
      </c>
      <c r="C10">
        <v>1</v>
      </c>
      <c r="D10">
        <v>1</v>
      </c>
      <c r="F10" s="79">
        <v>200000</v>
      </c>
      <c r="G10" s="79">
        <v>2000000</v>
      </c>
      <c r="J10" s="337" t="s">
        <v>385</v>
      </c>
      <c r="K10" t="s">
        <v>383</v>
      </c>
      <c r="L10" s="71">
        <v>1</v>
      </c>
      <c r="M10">
        <v>1</v>
      </c>
      <c r="N10" t="str">
        <f>IFERROR(IF(VLOOKUP(Tb_Activiteiten[[#This Row],[Openstelling]],Tb_Openstelling[],2,0)=1,1,""),"")</f>
        <v/>
      </c>
      <c r="O10">
        <v>1</v>
      </c>
      <c r="P10">
        <v>1</v>
      </c>
      <c r="Q10">
        <v>1</v>
      </c>
      <c r="U10">
        <v>1</v>
      </c>
      <c r="V10">
        <v>1</v>
      </c>
      <c r="AA10" t="str">
        <f>IF(ISNUMBER(FIND("arbeid",Methode_Keuze)),"",IF(ISNUMBER(FIND("arbeid",Methode_Keuze)),"",IF(Tb_Activiteiten[[#This Row],[Loonkosten]]=1,Tb_Activiteiten[[#Headers],[Loonkosten]],"")))</f>
        <v>Loonkosten</v>
      </c>
      <c r="AB10" t="str">
        <f>IF(ISNUMBER(FIND("arbeid",Methode_Keuze)),"",IF(ISNUMBER(FIND("arbeid",Methode_Keuze)),"",IF(Tb_Activiteiten[[#This Row],[Eigen arbeid]]=1,Tb_Activiteiten[[#Headers],[Eigen arbeid]],"")))</f>
        <v>Eigen arbeid</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Arbeidskosten</v>
      </c>
      <c r="AH10" t="str">
        <f>IF(ISNUMBER(FIND("arbeid",Methode_Keuze)),"",IF(ISNUMBER(FIND("arbeid",Methode_Keuze)),"",IF(Tb_Activiteiten[[#This Row],[Arbeidskosten op basis van IKS]]=1,Tb_Activiteiten[[#Headers],[Arbeidskosten op basis van IKS]],"")))</f>
        <v/>
      </c>
      <c r="AI10" t="str">
        <f>IF(ISNUMBER(FIND("overige",Methode_Keuze)),"",IF(Tb_Activiteiten[[#This Row],[Kosten derden exclusief btw]]=1,Tb_Activiteiten[[#Headers],[Kosten derden exclusief btw]],""))</f>
        <v>Kosten derden exclusief btw</v>
      </c>
      <c r="AJ10" t="str">
        <f>IF(ISNUMBER(FIND("overige",Methode_Keuze)),"",IF(Tb_Activiteiten[[#This Row],[Niet verrekenbare btw]]=1,Tb_Activiteiten[[#Headers],[Niet verrekenbare btw]],""))</f>
        <v>Niet verrekenbare btw</v>
      </c>
      <c r="AK10" t="str">
        <f>IF(ISNUMBER(FIND("overige",Methode_Keuze)),"",IF(Tb_Activiteiten[[#This Row],[Grondkosten]]=1,Tb_Activiteiten[[#Headers],[Grondkosten]],""))</f>
        <v>Grondkosten</v>
      </c>
      <c r="AL10" t="str">
        <f>IF(ISNUMBER(FIND("overige",Methode_Keuze)),"",IF(Tb_Activiteiten[[#This Row],[Bijdrage in natura (overige)]]=1,Tb_Activiteiten[[#Headers],[Bijdrage in natura (overige)]],""))</f>
        <v/>
      </c>
      <c r="AM10" t="str">
        <f>IF(ISNUMBER(FIND("overige",Methode_Keuze)),"",IF(Tb_Activiteiten[[#This Row],[Bijdrage in natura (vrijwilligers)]]=1,Tb_Activiteiten[[#Headers],[Bijdrage in natura (vrijwilligers)]],""))</f>
        <v/>
      </c>
      <c r="AN10" t="str">
        <f>IF(ISNUMBER(FIND("overige",Methode_Keuze)),"",IF(Tb_Activiteiten[[#This Row],[Afschrijvingskosten]]=1,Tb_Activiteiten[[#Headers],[Afschrijvingskosten]],""))</f>
        <v/>
      </c>
    </row>
    <row r="11" spans="1:40" x14ac:dyDescent="0.25">
      <c r="A11" s="337" t="s">
        <v>390</v>
      </c>
      <c r="C11">
        <v>1</v>
      </c>
      <c r="D11">
        <v>1</v>
      </c>
      <c r="F11" s="79">
        <v>200000</v>
      </c>
      <c r="G11" s="79">
        <v>800000</v>
      </c>
      <c r="J11" s="337" t="s">
        <v>385</v>
      </c>
      <c r="K11" t="s">
        <v>384</v>
      </c>
      <c r="L11" s="71">
        <v>0.7</v>
      </c>
      <c r="M11">
        <v>1</v>
      </c>
      <c r="N11" t="str">
        <f>IFERROR(IF(VLOOKUP(Tb_Activiteiten[[#This Row],[Openstelling]],Tb_Openstelling[],2,0)=1,1,""),"")</f>
        <v/>
      </c>
      <c r="O11">
        <v>1</v>
      </c>
      <c r="P11">
        <v>1</v>
      </c>
      <c r="Q11">
        <v>1</v>
      </c>
      <c r="U11">
        <v>1</v>
      </c>
      <c r="V11">
        <v>1</v>
      </c>
      <c r="AA11" t="str">
        <f>IF(ISNUMBER(FIND("arbeid",Methode_Keuze)),"",IF(ISNUMBER(FIND("arbeid",Methode_Keuze)),"",IF(Tb_Activiteiten[[#This Row],[Loonkosten]]=1,Tb_Activiteiten[[#Headers],[Loonkosten]],"")))</f>
        <v>Loonkosten</v>
      </c>
      <c r="AB11" t="str">
        <f>IF(ISNUMBER(FIND("arbeid",Methode_Keuze)),"",IF(ISNUMBER(FIND("arbeid",Methode_Keuze)),"",IF(Tb_Activiteiten[[#This Row],[Eigen arbeid]]=1,Tb_Activiteiten[[#Headers],[Eigen arbeid]],"")))</f>
        <v>Eigen arbeid</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Arbeidskosten</v>
      </c>
      <c r="AH11" t="str">
        <f>IF(ISNUMBER(FIND("arbeid",Methode_Keuze)),"",IF(ISNUMBER(FIND("arbeid",Methode_Keuze)),"",IF(Tb_Activiteiten[[#This Row],[Arbeidskosten op basis van IKS]]=1,Tb_Activiteiten[[#Headers],[Arbeidskosten op basis van IKS]],"")))</f>
        <v/>
      </c>
      <c r="AI11" t="str">
        <f>IF(ISNUMBER(FIND("overige",Methode_Keuze)),"",IF(Tb_Activiteiten[[#This Row],[Kosten derden exclusief btw]]=1,Tb_Activiteiten[[#Headers],[Kosten derden exclusief btw]],""))</f>
        <v>Kosten derden exclusief btw</v>
      </c>
      <c r="AJ11" t="str">
        <f>IF(ISNUMBER(FIND("overige",Methode_Keuze)),"",IF(Tb_Activiteiten[[#This Row],[Niet verrekenbare btw]]=1,Tb_Activiteiten[[#Headers],[Niet verrekenbare btw]],""))</f>
        <v>Niet verrekenbare btw</v>
      </c>
      <c r="AK11" t="str">
        <f>IF(ISNUMBER(FIND("overige",Methode_Keuze)),"",IF(Tb_Activiteiten[[#This Row],[Grondkosten]]=1,Tb_Activiteiten[[#Headers],[Grondkosten]],""))</f>
        <v>Grondkosten</v>
      </c>
      <c r="AL11" t="str">
        <f>IF(ISNUMBER(FIND("overige",Methode_Keuze)),"",IF(Tb_Activiteiten[[#This Row],[Bijdrage in natura (overige)]]=1,Tb_Activiteiten[[#Headers],[Bijdrage in natura (overige)]],""))</f>
        <v/>
      </c>
      <c r="AM11" t="str">
        <f>IF(ISNUMBER(FIND("overige",Methode_Keuze)),"",IF(Tb_Activiteiten[[#This Row],[Bijdrage in natura (vrijwilligers)]]=1,Tb_Activiteiten[[#Headers],[Bijdrage in natura (vrijwilligers)]],""))</f>
        <v/>
      </c>
      <c r="AN11" t="str">
        <f>IF(ISNUMBER(FIND("overige",Methode_Keuze)),"",IF(Tb_Activiteiten[[#This Row],[Afschrijvingskosten]]=1,Tb_Activiteiten[[#Headers],[Afschrijvingskosten]],""))</f>
        <v/>
      </c>
    </row>
    <row r="12" spans="1:40" x14ac:dyDescent="0.25">
      <c r="A12" s="337"/>
      <c r="F12" s="79"/>
      <c r="G12" s="79"/>
      <c r="J12" s="337" t="s">
        <v>385</v>
      </c>
      <c r="K12" t="s">
        <v>393</v>
      </c>
      <c r="L12" s="71">
        <v>1</v>
      </c>
      <c r="M12">
        <v>1</v>
      </c>
      <c r="N12" t="str">
        <f>IFERROR(IF(VLOOKUP(Tb_Activiteiten[[#This Row],[Openstelling]],Tb_Openstelling[],2,0)=1,1,""),"")</f>
        <v/>
      </c>
      <c r="O12">
        <v>1</v>
      </c>
      <c r="P12">
        <v>1</v>
      </c>
      <c r="Q12">
        <v>1</v>
      </c>
      <c r="U12">
        <v>1</v>
      </c>
      <c r="V12">
        <v>1</v>
      </c>
      <c r="AA12" t="str">
        <f>IF(ISNUMBER(FIND("arbeid",Methode_Keuze)),"",IF(ISNUMBER(FIND("arbeid",Methode_Keuze)),"",IF(Tb_Activiteiten[[#This Row],[Loonkosten]]=1,Tb_Activiteiten[[#Headers],[Loonkosten]],"")))</f>
        <v>Loonkosten</v>
      </c>
      <c r="AB12" t="str">
        <f>IF(ISNUMBER(FIND("arbeid",Methode_Keuze)),"",IF(ISNUMBER(FIND("arbeid",Methode_Keuze)),"",IF(Tb_Activiteiten[[#This Row],[Eigen arbeid]]=1,Tb_Activiteiten[[#Headers],[Eigen arbeid]],"")))</f>
        <v>Eigen arbeid</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Arbeidskosten</v>
      </c>
      <c r="AH12" t="str">
        <f>IF(ISNUMBER(FIND("arbeid",Methode_Keuze)),"",IF(ISNUMBER(FIND("arbeid",Methode_Keuze)),"",IF(Tb_Activiteiten[[#This Row],[Arbeidskosten op basis van IKS]]=1,Tb_Activiteiten[[#Headers],[Arbeidskosten op basis van IKS]],"")))</f>
        <v/>
      </c>
      <c r="AI12" t="str">
        <f>IF(ISNUMBER(FIND("overige",Methode_Keuze)),"",IF(Tb_Activiteiten[[#This Row],[Kosten derden exclusief btw]]=1,Tb_Activiteiten[[#Headers],[Kosten derden exclusief btw]],""))</f>
        <v>Kosten derden exclusief btw</v>
      </c>
      <c r="AJ12" t="str">
        <f>IF(ISNUMBER(FIND("overige",Methode_Keuze)),"",IF(Tb_Activiteiten[[#This Row],[Niet verrekenbare btw]]=1,Tb_Activiteiten[[#Headers],[Niet verrekenbare btw]],""))</f>
        <v>Niet verrekenbare btw</v>
      </c>
      <c r="AK12" t="str">
        <f>IF(ISNUMBER(FIND("overige",Methode_Keuze)),"",IF(Tb_Activiteiten[[#This Row],[Grondkosten]]=1,Tb_Activiteiten[[#Headers],[Grondkosten]],""))</f>
        <v>Grondkosten</v>
      </c>
      <c r="AL12" t="str">
        <f>IF(ISNUMBER(FIND("overige",Methode_Keuze)),"",IF(Tb_Activiteiten[[#This Row],[Bijdrage in natura (overige)]]=1,Tb_Activiteiten[[#Headers],[Bijdrage in natura (overige)]],""))</f>
        <v/>
      </c>
      <c r="AM12" t="str">
        <f>IF(ISNUMBER(FIND("overige",Methode_Keuze)),"",IF(Tb_Activiteiten[[#This Row],[Bijdrage in natura (vrijwilligers)]]=1,Tb_Activiteiten[[#Headers],[Bijdrage in natura (vrijwilligers)]],""))</f>
        <v/>
      </c>
      <c r="AN12" t="str">
        <f>IF(ISNUMBER(FIND("overige",Methode_Keuze)),"",IF(Tb_Activiteiten[[#This Row],[Afschrijvingskosten]]=1,Tb_Activiteiten[[#Headers],[Afschrijvingskosten]],""))</f>
        <v/>
      </c>
    </row>
    <row r="13" spans="1:40" x14ac:dyDescent="0.25">
      <c r="A13" s="337"/>
      <c r="F13" s="79"/>
      <c r="G13" s="79"/>
      <c r="J13" s="337" t="s">
        <v>386</v>
      </c>
      <c r="K13" t="s">
        <v>383</v>
      </c>
      <c r="L13" s="71">
        <v>1</v>
      </c>
      <c r="M13">
        <v>1</v>
      </c>
      <c r="N13" t="str">
        <f>IFERROR(IF(VLOOKUP(Tb_Activiteiten[[#This Row],[Openstelling]],Tb_Openstelling[],2,0)=1,1,""),"")</f>
        <v/>
      </c>
      <c r="O13">
        <v>1</v>
      </c>
      <c r="P13">
        <v>1</v>
      </c>
      <c r="Q13">
        <v>1</v>
      </c>
      <c r="U13">
        <v>1</v>
      </c>
      <c r="V13">
        <v>1</v>
      </c>
      <c r="AA13" t="str">
        <f>IF(ISNUMBER(FIND("arbeid",Methode_Keuze)),"",IF(ISNUMBER(FIND("arbeid",Methode_Keuze)),"",IF(Tb_Activiteiten[[#This Row],[Loonkosten]]=1,Tb_Activiteiten[[#Headers],[Loonkosten]],"")))</f>
        <v>Loonkosten</v>
      </c>
      <c r="AB13" t="str">
        <f>IF(ISNUMBER(FIND("arbeid",Methode_Keuze)),"",IF(ISNUMBER(FIND("arbeid",Methode_Keuze)),"",IF(Tb_Activiteiten[[#This Row],[Eigen arbeid]]=1,Tb_Activiteiten[[#Headers],[Eigen arbeid]],"")))</f>
        <v>Eigen arbeid</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Arbeidskosten</v>
      </c>
      <c r="AH13" t="str">
        <f>IF(ISNUMBER(FIND("arbeid",Methode_Keuze)),"",IF(ISNUMBER(FIND("arbeid",Methode_Keuze)),"",IF(Tb_Activiteiten[[#This Row],[Arbeidskosten op basis van IKS]]=1,Tb_Activiteiten[[#Headers],[Arbeidskosten op basis van IKS]],"")))</f>
        <v/>
      </c>
      <c r="AI13" t="str">
        <f>IF(ISNUMBER(FIND("overige",Methode_Keuze)),"",IF(Tb_Activiteiten[[#This Row],[Kosten derden exclusief btw]]=1,Tb_Activiteiten[[#Headers],[Kosten derden exclusief btw]],""))</f>
        <v>Kosten derden exclusief btw</v>
      </c>
      <c r="AJ13" t="str">
        <f>IF(ISNUMBER(FIND("overige",Methode_Keuze)),"",IF(Tb_Activiteiten[[#This Row],[Niet verrekenbare btw]]=1,Tb_Activiteiten[[#Headers],[Niet verrekenbare btw]],""))</f>
        <v>Niet verrekenbare btw</v>
      </c>
      <c r="AK13" t="str">
        <f>IF(ISNUMBER(FIND("overige",Methode_Keuze)),"",IF(Tb_Activiteiten[[#This Row],[Grondkosten]]=1,Tb_Activiteiten[[#Headers],[Grondkosten]],""))</f>
        <v>Grondkosten</v>
      </c>
      <c r="AL13" t="str">
        <f>IF(ISNUMBER(FIND("overige",Methode_Keuze)),"",IF(Tb_Activiteiten[[#This Row],[Bijdrage in natura (overige)]]=1,Tb_Activiteiten[[#Headers],[Bijdrage in natura (overige)]],""))</f>
        <v/>
      </c>
      <c r="AM13" t="str">
        <f>IF(ISNUMBER(FIND("overige",Methode_Keuze)),"",IF(Tb_Activiteiten[[#This Row],[Bijdrage in natura (vrijwilligers)]]=1,Tb_Activiteiten[[#Headers],[Bijdrage in natura (vrijwilligers)]],""))</f>
        <v/>
      </c>
      <c r="AN13" t="str">
        <f>IF(ISNUMBER(FIND("overige",Methode_Keuze)),"",IF(Tb_Activiteiten[[#This Row],[Afschrijvingskosten]]=1,Tb_Activiteiten[[#Headers],[Afschrijvingskosten]],""))</f>
        <v/>
      </c>
    </row>
    <row r="14" spans="1:40" x14ac:dyDescent="0.25">
      <c r="A14" s="337"/>
      <c r="F14" s="79"/>
      <c r="G14" s="79"/>
      <c r="J14" s="337" t="s">
        <v>386</v>
      </c>
      <c r="K14" t="s">
        <v>384</v>
      </c>
      <c r="L14" s="71">
        <v>0.7</v>
      </c>
      <c r="M14">
        <v>1</v>
      </c>
      <c r="N14" t="str">
        <f>IFERROR(IF(VLOOKUP(Tb_Activiteiten[[#This Row],[Openstelling]],Tb_Openstelling[],2,0)=1,1,""),"")</f>
        <v/>
      </c>
      <c r="O14">
        <v>1</v>
      </c>
      <c r="P14">
        <v>1</v>
      </c>
      <c r="Q14">
        <v>1</v>
      </c>
      <c r="U14">
        <v>1</v>
      </c>
      <c r="V14">
        <v>1</v>
      </c>
      <c r="AA14" t="str">
        <f>IF(ISNUMBER(FIND("arbeid",Methode_Keuze)),"",IF(ISNUMBER(FIND("arbeid",Methode_Keuze)),"",IF(Tb_Activiteiten[[#This Row],[Loonkosten]]=1,Tb_Activiteiten[[#Headers],[Loonkosten]],"")))</f>
        <v>Loonkosten</v>
      </c>
      <c r="AB14" t="str">
        <f>IF(ISNUMBER(FIND("arbeid",Methode_Keuze)),"",IF(ISNUMBER(FIND("arbeid",Methode_Keuze)),"",IF(Tb_Activiteiten[[#This Row],[Eigen arbeid]]=1,Tb_Activiteiten[[#Headers],[Eigen arbeid]],"")))</f>
        <v>Eigen arbeid</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Arbeidskosten</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Kosten derden exclusief btw</v>
      </c>
      <c r="AJ14" t="str">
        <f>IF(ISNUMBER(FIND("overige",Methode_Keuze)),"",IF(Tb_Activiteiten[[#This Row],[Niet verrekenbare btw]]=1,Tb_Activiteiten[[#Headers],[Niet verrekenbare btw]],""))</f>
        <v>Niet verrekenbare btw</v>
      </c>
      <c r="AK14" t="str">
        <f>IF(ISNUMBER(FIND("overige",Methode_Keuze)),"",IF(Tb_Activiteiten[[#This Row],[Grondkosten]]=1,Tb_Activiteiten[[#Headers],[Grondkosten]],""))</f>
        <v>Grondkosten</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25">
      <c r="A15" s="337"/>
      <c r="F15" s="79"/>
      <c r="G15" s="79"/>
      <c r="J15" s="337" t="s">
        <v>386</v>
      </c>
      <c r="K15" t="s">
        <v>393</v>
      </c>
      <c r="L15" s="71">
        <v>1</v>
      </c>
      <c r="M15">
        <v>1</v>
      </c>
      <c r="N15" t="str">
        <f>IFERROR(IF(VLOOKUP(Tb_Activiteiten[[#This Row],[Openstelling]],Tb_Openstelling[],2,0)=1,1,""),"")</f>
        <v/>
      </c>
      <c r="O15">
        <v>1</v>
      </c>
      <c r="P15">
        <v>1</v>
      </c>
      <c r="Q15">
        <v>1</v>
      </c>
      <c r="U15">
        <v>1</v>
      </c>
      <c r="V15">
        <v>1</v>
      </c>
      <c r="AA15" t="str">
        <f>IF(ISNUMBER(FIND("arbeid",Methode_Keuze)),"",IF(ISNUMBER(FIND("arbeid",Methode_Keuze)),"",IF(Tb_Activiteiten[[#This Row],[Loonkosten]]=1,Tb_Activiteiten[[#Headers],[Loonkosten]],"")))</f>
        <v>Loonkosten</v>
      </c>
      <c r="AB15" t="str">
        <f>IF(ISNUMBER(FIND("arbeid",Methode_Keuze)),"",IF(ISNUMBER(FIND("arbeid",Methode_Keuze)),"",IF(Tb_Activiteiten[[#This Row],[Eigen arbeid]]=1,Tb_Activiteiten[[#Headers],[Eigen arbeid]],"")))</f>
        <v>Eigen arbeid</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Arbeidskosten</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Kosten derden exclusief btw</v>
      </c>
      <c r="AJ15" t="str">
        <f>IF(ISNUMBER(FIND("overige",Methode_Keuze)),"",IF(Tb_Activiteiten[[#This Row],[Niet verrekenbare btw]]=1,Tb_Activiteiten[[#Headers],[Niet verrekenbare btw]],""))</f>
        <v>Niet verrekenbare btw</v>
      </c>
      <c r="AK15" t="str">
        <f>IF(ISNUMBER(FIND("overige",Methode_Keuze)),"",IF(Tb_Activiteiten[[#This Row],[Grondkosten]]=1,Tb_Activiteiten[[#Headers],[Grondkosten]],""))</f>
        <v>Grondkosten</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25">
      <c r="A16" s="337"/>
      <c r="F16" s="79"/>
      <c r="G16" s="79"/>
      <c r="J16" s="337" t="s">
        <v>387</v>
      </c>
      <c r="K16" t="s">
        <v>383</v>
      </c>
      <c r="L16" s="71">
        <v>1</v>
      </c>
      <c r="M16">
        <v>1</v>
      </c>
      <c r="N16" t="str">
        <f>IFERROR(IF(VLOOKUP(Tb_Activiteiten[[#This Row],[Openstelling]],Tb_Openstelling[],2,0)=1,1,""),"")</f>
        <v/>
      </c>
      <c r="O16">
        <v>1</v>
      </c>
      <c r="P16">
        <v>1</v>
      </c>
      <c r="Q16">
        <v>1</v>
      </c>
      <c r="U16">
        <v>1</v>
      </c>
      <c r="V16">
        <v>1</v>
      </c>
      <c r="AA16" t="str">
        <f>IF(ISNUMBER(FIND("arbeid",Methode_Keuze)),"",IF(ISNUMBER(FIND("arbeid",Methode_Keuze)),"",IF(Tb_Activiteiten[[#This Row],[Loonkosten]]=1,Tb_Activiteiten[[#Headers],[Loonkosten]],"")))</f>
        <v>Loonkosten</v>
      </c>
      <c r="AB16" t="str">
        <f>IF(ISNUMBER(FIND("arbeid",Methode_Keuze)),"",IF(ISNUMBER(FIND("arbeid",Methode_Keuze)),"",IF(Tb_Activiteiten[[#This Row],[Eigen arbeid]]=1,Tb_Activiteiten[[#Headers],[Eigen arbeid]],"")))</f>
        <v>Eigen arbeid</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Arbeidskosten</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Kosten derden exclusief btw</v>
      </c>
      <c r="AJ16" t="str">
        <f>IF(ISNUMBER(FIND("overige",Methode_Keuze)),"",IF(Tb_Activiteiten[[#This Row],[Niet verrekenbare btw]]=1,Tb_Activiteiten[[#Headers],[Niet verrekenbare btw]],""))</f>
        <v>Niet verrekenbare btw</v>
      </c>
      <c r="AK16" t="str">
        <f>IF(ISNUMBER(FIND("overige",Methode_Keuze)),"",IF(Tb_Activiteiten[[#This Row],[Grondkosten]]=1,Tb_Activiteiten[[#Headers],[Grondkosten]],""))</f>
        <v>Grondkosten</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25">
      <c r="A17" s="337"/>
      <c r="F17" s="79"/>
      <c r="G17" s="79"/>
      <c r="J17" s="337" t="s">
        <v>387</v>
      </c>
      <c r="K17" t="s">
        <v>384</v>
      </c>
      <c r="L17" s="71">
        <v>0.7</v>
      </c>
      <c r="M17">
        <v>1</v>
      </c>
      <c r="N17" t="str">
        <f>IFERROR(IF(VLOOKUP(Tb_Activiteiten[[#This Row],[Openstelling]],Tb_Openstelling[],2,0)=1,1,""),"")</f>
        <v/>
      </c>
      <c r="O17">
        <v>1</v>
      </c>
      <c r="P17">
        <v>1</v>
      </c>
      <c r="Q17">
        <v>1</v>
      </c>
      <c r="U17">
        <v>1</v>
      </c>
      <c r="V17">
        <v>1</v>
      </c>
      <c r="AA17" t="str">
        <f>IF(ISNUMBER(FIND("arbeid",Methode_Keuze)),"",IF(ISNUMBER(FIND("arbeid",Methode_Keuze)),"",IF(Tb_Activiteiten[[#This Row],[Loonkosten]]=1,Tb_Activiteiten[[#Headers],[Loonkosten]],"")))</f>
        <v>Loonkosten</v>
      </c>
      <c r="AB17" t="str">
        <f>IF(ISNUMBER(FIND("arbeid",Methode_Keuze)),"",IF(ISNUMBER(FIND("arbeid",Methode_Keuze)),"",IF(Tb_Activiteiten[[#This Row],[Eigen arbeid]]=1,Tb_Activiteiten[[#Headers],[Eigen arbeid]],"")))</f>
        <v>Eigen arbeid</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Arbeidskosten</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Kosten derden exclusief btw</v>
      </c>
      <c r="AJ17" t="str">
        <f>IF(ISNUMBER(FIND("overige",Methode_Keuze)),"",IF(Tb_Activiteiten[[#This Row],[Niet verrekenbare btw]]=1,Tb_Activiteiten[[#Headers],[Niet verrekenbare btw]],""))</f>
        <v>Niet verrekenbare btw</v>
      </c>
      <c r="AK17" t="str">
        <f>IF(ISNUMBER(FIND("overige",Methode_Keuze)),"",IF(Tb_Activiteiten[[#This Row],[Grondkosten]]=1,Tb_Activiteiten[[#Headers],[Grondkosten]],""))</f>
        <v>Grondkosten</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25">
      <c r="A18" s="337"/>
      <c r="F18" s="79"/>
      <c r="G18" s="79"/>
      <c r="J18" s="337" t="s">
        <v>387</v>
      </c>
      <c r="K18" t="s">
        <v>393</v>
      </c>
      <c r="L18" s="71">
        <v>1</v>
      </c>
      <c r="M18">
        <v>1</v>
      </c>
      <c r="N18" t="str">
        <f>IFERROR(IF(VLOOKUP(Tb_Activiteiten[[#This Row],[Openstelling]],Tb_Openstelling[],2,0)=1,1,""),"")</f>
        <v/>
      </c>
      <c r="O18">
        <v>1</v>
      </c>
      <c r="P18">
        <v>1</v>
      </c>
      <c r="Q18">
        <v>1</v>
      </c>
      <c r="U18">
        <v>1</v>
      </c>
      <c r="V18">
        <v>1</v>
      </c>
      <c r="AA18" t="str">
        <f>IF(ISNUMBER(FIND("arbeid",Methode_Keuze)),"",IF(ISNUMBER(FIND("arbeid",Methode_Keuze)),"",IF(Tb_Activiteiten[[#This Row],[Loonkosten]]=1,Tb_Activiteiten[[#Headers],[Loonkosten]],"")))</f>
        <v>Loonkosten</v>
      </c>
      <c r="AB18" t="str">
        <f>IF(ISNUMBER(FIND("arbeid",Methode_Keuze)),"",IF(ISNUMBER(FIND("arbeid",Methode_Keuze)),"",IF(Tb_Activiteiten[[#This Row],[Eigen arbeid]]=1,Tb_Activiteiten[[#Headers],[Eigen arbeid]],"")))</f>
        <v>Eigen arbeid</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Arbeidskosten</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Kosten derden exclusief btw</v>
      </c>
      <c r="AJ18" t="str">
        <f>IF(ISNUMBER(FIND("overige",Methode_Keuze)),"",IF(Tb_Activiteiten[[#This Row],[Niet verrekenbare btw]]=1,Tb_Activiteiten[[#Headers],[Niet verrekenbare btw]],""))</f>
        <v>Niet verrekenbare btw</v>
      </c>
      <c r="AK18" t="str">
        <f>IF(ISNUMBER(FIND("overige",Methode_Keuze)),"",IF(Tb_Activiteiten[[#This Row],[Grondkosten]]=1,Tb_Activiteiten[[#Headers],[Grondkosten]],""))</f>
        <v>Grondkosten</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25">
      <c r="A19" s="337"/>
      <c r="F19" s="79"/>
      <c r="G19" s="79"/>
      <c r="J19" s="337" t="s">
        <v>388</v>
      </c>
      <c r="K19" t="s">
        <v>383</v>
      </c>
      <c r="L19" s="71">
        <v>1</v>
      </c>
      <c r="M19">
        <v>1</v>
      </c>
      <c r="N19" t="str">
        <f>IFERROR(IF(VLOOKUP(Tb_Activiteiten[[#This Row],[Openstelling]],Tb_Openstelling[],2,0)=1,1,""),"")</f>
        <v/>
      </c>
      <c r="O19">
        <v>1</v>
      </c>
      <c r="P19">
        <v>1</v>
      </c>
      <c r="Q19">
        <v>1</v>
      </c>
      <c r="U19">
        <v>1</v>
      </c>
      <c r="V19">
        <v>1</v>
      </c>
      <c r="AA19" t="str">
        <f>IF(ISNUMBER(FIND("arbeid",Methode_Keuze)),"",IF(ISNUMBER(FIND("arbeid",Methode_Keuze)),"",IF(Tb_Activiteiten[[#This Row],[Loonkosten]]=1,Tb_Activiteiten[[#Headers],[Loonkosten]],"")))</f>
        <v>Loonkosten</v>
      </c>
      <c r="AB19" t="str">
        <f>IF(ISNUMBER(FIND("arbeid",Methode_Keuze)),"",IF(ISNUMBER(FIND("arbeid",Methode_Keuze)),"",IF(Tb_Activiteiten[[#This Row],[Eigen arbeid]]=1,Tb_Activiteiten[[#Headers],[Eigen arbeid]],"")))</f>
        <v>Eigen arbeid</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Arbeidskosten</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Kosten derden exclusief btw</v>
      </c>
      <c r="AJ19" t="str">
        <f>IF(ISNUMBER(FIND("overige",Methode_Keuze)),"",IF(Tb_Activiteiten[[#This Row],[Niet verrekenbare btw]]=1,Tb_Activiteiten[[#Headers],[Niet verrekenbare btw]],""))</f>
        <v>Niet verrekenbare btw</v>
      </c>
      <c r="AK19" t="str">
        <f>IF(ISNUMBER(FIND("overige",Methode_Keuze)),"",IF(Tb_Activiteiten[[#This Row],[Grondkosten]]=1,Tb_Activiteiten[[#Headers],[Grondkosten]],""))</f>
        <v>Grondkosten</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25">
      <c r="A20" s="337"/>
      <c r="F20" s="79"/>
      <c r="G20" s="79"/>
      <c r="J20" s="337" t="s">
        <v>388</v>
      </c>
      <c r="K20" t="s">
        <v>384</v>
      </c>
      <c r="L20" s="71">
        <v>0.7</v>
      </c>
      <c r="M20">
        <v>1</v>
      </c>
      <c r="N20" t="str">
        <f>IFERROR(IF(VLOOKUP(Tb_Activiteiten[[#This Row],[Openstelling]],Tb_Openstelling[],2,0)=1,1,""),"")</f>
        <v/>
      </c>
      <c r="O20">
        <v>1</v>
      </c>
      <c r="P20">
        <v>1</v>
      </c>
      <c r="Q20">
        <v>1</v>
      </c>
      <c r="U20">
        <v>1</v>
      </c>
      <c r="V20">
        <v>1</v>
      </c>
      <c r="AA20" t="str">
        <f>IF(ISNUMBER(FIND("arbeid",Methode_Keuze)),"",IF(ISNUMBER(FIND("arbeid",Methode_Keuze)),"",IF(Tb_Activiteiten[[#This Row],[Loonkosten]]=1,Tb_Activiteiten[[#Headers],[Loonkosten]],"")))</f>
        <v>Loonkosten</v>
      </c>
      <c r="AB20" t="str">
        <f>IF(ISNUMBER(FIND("arbeid",Methode_Keuze)),"",IF(ISNUMBER(FIND("arbeid",Methode_Keuze)),"",IF(Tb_Activiteiten[[#This Row],[Eigen arbeid]]=1,Tb_Activiteiten[[#Headers],[Eigen arbeid]],"")))</f>
        <v>Eigen arbeid</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Arbeidskosten</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Kosten derden exclusief btw</v>
      </c>
      <c r="AJ20" t="str">
        <f>IF(ISNUMBER(FIND("overige",Methode_Keuze)),"",IF(Tb_Activiteiten[[#This Row],[Niet verrekenbare btw]]=1,Tb_Activiteiten[[#Headers],[Niet verrekenbare btw]],""))</f>
        <v>Niet verrekenbare btw</v>
      </c>
      <c r="AK20" t="str">
        <f>IF(ISNUMBER(FIND("overige",Methode_Keuze)),"",IF(Tb_Activiteiten[[#This Row],[Grondkosten]]=1,Tb_Activiteiten[[#Headers],[Grondkosten]],""))</f>
        <v>Grondkosten</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25">
      <c r="A21" s="337"/>
      <c r="F21" s="79"/>
      <c r="G21" s="79"/>
      <c r="J21" s="337" t="s">
        <v>388</v>
      </c>
      <c r="K21" t="s">
        <v>393</v>
      </c>
      <c r="L21" s="71">
        <v>1</v>
      </c>
      <c r="M21">
        <v>1</v>
      </c>
      <c r="N21" t="str">
        <f>IFERROR(IF(VLOOKUP(Tb_Activiteiten[[#This Row],[Openstelling]],Tb_Openstelling[],2,0)=1,1,""),"")</f>
        <v/>
      </c>
      <c r="O21">
        <v>1</v>
      </c>
      <c r="P21">
        <v>1</v>
      </c>
      <c r="Q21">
        <v>1</v>
      </c>
      <c r="U21">
        <v>1</v>
      </c>
      <c r="V21">
        <v>1</v>
      </c>
      <c r="AA21" t="str">
        <f>IF(ISNUMBER(FIND("arbeid",Methode_Keuze)),"",IF(ISNUMBER(FIND("arbeid",Methode_Keuze)),"",IF(Tb_Activiteiten[[#This Row],[Loonkosten]]=1,Tb_Activiteiten[[#Headers],[Loonkosten]],"")))</f>
        <v>Loonkosten</v>
      </c>
      <c r="AB21" t="str">
        <f>IF(ISNUMBER(FIND("arbeid",Methode_Keuze)),"",IF(ISNUMBER(FIND("arbeid",Methode_Keuze)),"",IF(Tb_Activiteiten[[#This Row],[Eigen arbeid]]=1,Tb_Activiteiten[[#Headers],[Eigen arbeid]],"")))</f>
        <v>Eigen arbeid</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Arbeidskosten</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Kosten derden exclusief btw</v>
      </c>
      <c r="AJ21" t="str">
        <f>IF(ISNUMBER(FIND("overige",Methode_Keuze)),"",IF(Tb_Activiteiten[[#This Row],[Niet verrekenbare btw]]=1,Tb_Activiteiten[[#Headers],[Niet verrekenbare btw]],""))</f>
        <v>Niet verrekenbare btw</v>
      </c>
      <c r="AK21" t="str">
        <f>IF(ISNUMBER(FIND("overige",Methode_Keuze)),"",IF(Tb_Activiteiten[[#This Row],[Grondkosten]]=1,Tb_Activiteiten[[#Headers],[Grondkosten]],""))</f>
        <v>Grondkosten</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25">
      <c r="A22" s="337"/>
      <c r="F22" s="79"/>
      <c r="G22" s="79"/>
      <c r="J22" s="337" t="s">
        <v>389</v>
      </c>
      <c r="K22" t="s">
        <v>383</v>
      </c>
      <c r="L22" s="71">
        <v>1</v>
      </c>
      <c r="M22">
        <v>1</v>
      </c>
      <c r="N22" t="str">
        <f>IFERROR(IF(VLOOKUP(Tb_Activiteiten[[#This Row],[Openstelling]],Tb_Openstelling[],2,0)=1,1,""),"")</f>
        <v/>
      </c>
      <c r="O22">
        <v>1</v>
      </c>
      <c r="P22">
        <v>1</v>
      </c>
      <c r="Q22">
        <v>1</v>
      </c>
      <c r="U22">
        <v>1</v>
      </c>
      <c r="V22">
        <v>1</v>
      </c>
      <c r="AA22" t="str">
        <f>IF(ISNUMBER(FIND("arbeid",Methode_Keuze)),"",IF(ISNUMBER(FIND("arbeid",Methode_Keuze)),"",IF(Tb_Activiteiten[[#This Row],[Loonkosten]]=1,Tb_Activiteiten[[#Headers],[Loonkosten]],"")))</f>
        <v>Loonkosten</v>
      </c>
      <c r="AB22" t="str">
        <f>IF(ISNUMBER(FIND("arbeid",Methode_Keuze)),"",IF(ISNUMBER(FIND("arbeid",Methode_Keuze)),"",IF(Tb_Activiteiten[[#This Row],[Eigen arbeid]]=1,Tb_Activiteiten[[#Headers],[Eigen arbeid]],"")))</f>
        <v>Eigen arbeid</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Arbeidskosten</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Kosten derden exclusief btw</v>
      </c>
      <c r="AJ22" t="str">
        <f>IF(ISNUMBER(FIND("overige",Methode_Keuze)),"",IF(Tb_Activiteiten[[#This Row],[Niet verrekenbare btw]]=1,Tb_Activiteiten[[#Headers],[Niet verrekenbare btw]],""))</f>
        <v>Niet verrekenbare btw</v>
      </c>
      <c r="AK22" t="str">
        <f>IF(ISNUMBER(FIND("overige",Methode_Keuze)),"",IF(Tb_Activiteiten[[#This Row],[Grondkosten]]=1,Tb_Activiteiten[[#Headers],[Grondkosten]],""))</f>
        <v>Grondkosten</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25">
      <c r="A23" s="337"/>
      <c r="F23" s="79"/>
      <c r="G23" s="79"/>
      <c r="J23" s="337" t="s">
        <v>389</v>
      </c>
      <c r="K23" t="s">
        <v>384</v>
      </c>
      <c r="L23" s="71">
        <v>0.7</v>
      </c>
      <c r="M23">
        <v>1</v>
      </c>
      <c r="N23" t="str">
        <f>IFERROR(IF(VLOOKUP(Tb_Activiteiten[[#This Row],[Openstelling]],Tb_Openstelling[],2,0)=1,1,""),"")</f>
        <v/>
      </c>
      <c r="O23">
        <v>1</v>
      </c>
      <c r="P23">
        <v>1</v>
      </c>
      <c r="Q23">
        <v>1</v>
      </c>
      <c r="U23">
        <v>1</v>
      </c>
      <c r="V23">
        <v>1</v>
      </c>
      <c r="AA23" t="str">
        <f>IF(ISNUMBER(FIND("arbeid",Methode_Keuze)),"",IF(ISNUMBER(FIND("arbeid",Methode_Keuze)),"",IF(Tb_Activiteiten[[#This Row],[Loonkosten]]=1,Tb_Activiteiten[[#Headers],[Loonkosten]],"")))</f>
        <v>Loonkosten</v>
      </c>
      <c r="AB23" t="str">
        <f>IF(ISNUMBER(FIND("arbeid",Methode_Keuze)),"",IF(ISNUMBER(FIND("arbeid",Methode_Keuze)),"",IF(Tb_Activiteiten[[#This Row],[Eigen arbeid]]=1,Tb_Activiteiten[[#Headers],[Eigen arbeid]],"")))</f>
        <v>Eigen arbeid</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Arbeidskosten</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Kosten derden exclusief btw</v>
      </c>
      <c r="AJ23" t="str">
        <f>IF(ISNUMBER(FIND("overige",Methode_Keuze)),"",IF(Tb_Activiteiten[[#This Row],[Niet verrekenbare btw]]=1,Tb_Activiteiten[[#Headers],[Niet verrekenbare btw]],""))</f>
        <v>Niet verrekenbare btw</v>
      </c>
      <c r="AK23" t="str">
        <f>IF(ISNUMBER(FIND("overige",Methode_Keuze)),"",IF(Tb_Activiteiten[[#This Row],[Grondkosten]]=1,Tb_Activiteiten[[#Headers],[Grondkosten]],""))</f>
        <v>Grondkosten</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25">
      <c r="A24" s="337"/>
      <c r="F24" s="79"/>
      <c r="G24" s="79"/>
      <c r="J24" t="s">
        <v>389</v>
      </c>
      <c r="K24" t="s">
        <v>393</v>
      </c>
      <c r="L24" s="71">
        <v>1</v>
      </c>
      <c r="M24">
        <v>1</v>
      </c>
      <c r="N24" t="str">
        <f>IFERROR(IF(VLOOKUP(Tb_Activiteiten[[#This Row],[Openstelling]],Tb_Openstelling[],2,0)=1,1,""),"")</f>
        <v/>
      </c>
      <c r="O24">
        <v>1</v>
      </c>
      <c r="P24">
        <v>1</v>
      </c>
      <c r="Q24">
        <v>1</v>
      </c>
      <c r="U24">
        <v>1</v>
      </c>
      <c r="V24">
        <v>1</v>
      </c>
      <c r="AA24" t="str">
        <f>IF(ISNUMBER(FIND("arbeid",Methode_Keuze)),"",IF(ISNUMBER(FIND("arbeid",Methode_Keuze)),"",IF(Tb_Activiteiten[[#This Row],[Loonkosten]]=1,Tb_Activiteiten[[#Headers],[Loonkosten]],"")))</f>
        <v>Loonkosten</v>
      </c>
      <c r="AB24" t="str">
        <f>IF(ISNUMBER(FIND("arbeid",Methode_Keuze)),"",IF(ISNUMBER(FIND("arbeid",Methode_Keuze)),"",IF(Tb_Activiteiten[[#This Row],[Eigen arbeid]]=1,Tb_Activiteiten[[#Headers],[Eigen arbeid]],"")))</f>
        <v>Eigen arbeid</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Arbeidskosten</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Kosten derden exclusief btw</v>
      </c>
      <c r="AJ24" t="str">
        <f>IF(ISNUMBER(FIND("overige",Methode_Keuze)),"",IF(Tb_Activiteiten[[#This Row],[Niet verrekenbare btw]]=1,Tb_Activiteiten[[#Headers],[Niet verrekenbare btw]],""))</f>
        <v>Niet verrekenbare btw</v>
      </c>
      <c r="AK24" t="str">
        <f>IF(ISNUMBER(FIND("overige",Methode_Keuze)),"",IF(Tb_Activiteiten[[#This Row],[Grondkosten]]=1,Tb_Activiteiten[[#Headers],[Grondkosten]],""))</f>
        <v>Grondkosten</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25">
      <c r="A25" s="337"/>
      <c r="F25" s="79"/>
      <c r="G25" s="79"/>
      <c r="J25" t="s">
        <v>390</v>
      </c>
      <c r="K25" t="s">
        <v>383</v>
      </c>
      <c r="L25" s="71">
        <v>1</v>
      </c>
      <c r="M25">
        <v>1</v>
      </c>
      <c r="N25" t="str">
        <f>IFERROR(IF(VLOOKUP(Tb_Activiteiten[[#This Row],[Openstelling]],Tb_Openstelling[],2,0)=1,1,""),"")</f>
        <v/>
      </c>
      <c r="O25">
        <v>1</v>
      </c>
      <c r="P25">
        <v>1</v>
      </c>
      <c r="Q25">
        <v>1</v>
      </c>
      <c r="U25">
        <v>1</v>
      </c>
      <c r="V25">
        <v>1</v>
      </c>
      <c r="AA25" t="str">
        <f>IF(ISNUMBER(FIND("arbeid",Methode_Keuze)),"",IF(ISNUMBER(FIND("arbeid",Methode_Keuze)),"",IF(Tb_Activiteiten[[#This Row],[Loonkosten]]=1,Tb_Activiteiten[[#Headers],[Loonkosten]],"")))</f>
        <v>Loonkosten</v>
      </c>
      <c r="AB25" t="str">
        <f>IF(ISNUMBER(FIND("arbeid",Methode_Keuze)),"",IF(ISNUMBER(FIND("arbeid",Methode_Keuze)),"",IF(Tb_Activiteiten[[#This Row],[Eigen arbeid]]=1,Tb_Activiteiten[[#Headers],[Eigen arbeid]],"")))</f>
        <v>Eigen arbeid</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Arbeidskosten</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Kosten derden exclusief btw</v>
      </c>
      <c r="AJ25" t="str">
        <f>IF(ISNUMBER(FIND("overige",Methode_Keuze)),"",IF(Tb_Activiteiten[[#This Row],[Niet verrekenbare btw]]=1,Tb_Activiteiten[[#Headers],[Niet verrekenbare btw]],""))</f>
        <v>Niet verrekenbare btw</v>
      </c>
      <c r="AK25" t="str">
        <f>IF(ISNUMBER(FIND("overige",Methode_Keuze)),"",IF(Tb_Activiteiten[[#This Row],[Grondkosten]]=1,Tb_Activiteiten[[#Headers],[Grondkosten]],""))</f>
        <v>Grondkosten</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25">
      <c r="A26" s="337"/>
      <c r="F26" s="79"/>
      <c r="G26" s="79"/>
      <c r="J26" t="s">
        <v>390</v>
      </c>
      <c r="K26" t="s">
        <v>384</v>
      </c>
      <c r="L26" s="71">
        <v>0.7</v>
      </c>
      <c r="M26">
        <v>1</v>
      </c>
      <c r="N26" t="str">
        <f>IFERROR(IF(VLOOKUP(Tb_Activiteiten[[#This Row],[Openstelling]],Tb_Openstelling[],2,0)=1,1,""),"")</f>
        <v/>
      </c>
      <c r="O26">
        <v>1</v>
      </c>
      <c r="P26">
        <v>1</v>
      </c>
      <c r="Q26">
        <v>1</v>
      </c>
      <c r="U26">
        <v>1</v>
      </c>
      <c r="V26">
        <v>1</v>
      </c>
      <c r="AA26" t="str">
        <f>IF(ISNUMBER(FIND("arbeid",Methode_Keuze)),"",IF(ISNUMBER(FIND("arbeid",Methode_Keuze)),"",IF(Tb_Activiteiten[[#This Row],[Loonkosten]]=1,Tb_Activiteiten[[#Headers],[Loonkosten]],"")))</f>
        <v>Loonkosten</v>
      </c>
      <c r="AB26" t="str">
        <f>IF(ISNUMBER(FIND("arbeid",Methode_Keuze)),"",IF(ISNUMBER(FIND("arbeid",Methode_Keuze)),"",IF(Tb_Activiteiten[[#This Row],[Eigen arbeid]]=1,Tb_Activiteiten[[#Headers],[Eigen arbeid]],"")))</f>
        <v>Eigen arbeid</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Arbeidskosten</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Kosten derden exclusief btw</v>
      </c>
      <c r="AJ26" t="str">
        <f>IF(ISNUMBER(FIND("overige",Methode_Keuze)),"",IF(Tb_Activiteiten[[#This Row],[Niet verrekenbare btw]]=1,Tb_Activiteiten[[#Headers],[Niet verrekenbare btw]],""))</f>
        <v>Niet verrekenbare btw</v>
      </c>
      <c r="AK26" t="str">
        <f>IF(ISNUMBER(FIND("overige",Methode_Keuze)),"",IF(Tb_Activiteiten[[#This Row],[Grondkosten]]=1,Tb_Activiteiten[[#Headers],[Grondkosten]],""))</f>
        <v>Grondkosten</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25">
      <c r="A27" s="337"/>
      <c r="F27" s="79"/>
      <c r="G27" s="79"/>
      <c r="J27" t="s">
        <v>390</v>
      </c>
      <c r="K27" t="s">
        <v>393</v>
      </c>
      <c r="L27" s="71">
        <v>1</v>
      </c>
      <c r="M27">
        <v>1</v>
      </c>
      <c r="N27" t="str">
        <f>IFERROR(IF(VLOOKUP(Tb_Activiteiten[[#This Row],[Openstelling]],Tb_Openstelling[],2,0)=1,1,""),"")</f>
        <v/>
      </c>
      <c r="O27">
        <v>1</v>
      </c>
      <c r="P27">
        <v>1</v>
      </c>
      <c r="Q27">
        <v>1</v>
      </c>
      <c r="U27">
        <v>1</v>
      </c>
      <c r="V27">
        <v>1</v>
      </c>
      <c r="AA27" t="str">
        <f>IF(ISNUMBER(FIND("arbeid",Methode_Keuze)),"",IF(ISNUMBER(FIND("arbeid",Methode_Keuze)),"",IF(Tb_Activiteiten[[#This Row],[Loonkosten]]=1,Tb_Activiteiten[[#Headers],[Loonkosten]],"")))</f>
        <v>Loonkosten</v>
      </c>
      <c r="AB27" t="str">
        <f>IF(ISNUMBER(FIND("arbeid",Methode_Keuze)),"",IF(ISNUMBER(FIND("arbeid",Methode_Keuze)),"",IF(Tb_Activiteiten[[#This Row],[Eigen arbeid]]=1,Tb_Activiteiten[[#Headers],[Eigen arbeid]],"")))</f>
        <v>Eigen arbeid</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Arbeidskosten</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Kosten derden exclusief btw</v>
      </c>
      <c r="AJ27" t="str">
        <f>IF(ISNUMBER(FIND("overige",Methode_Keuze)),"",IF(Tb_Activiteiten[[#This Row],[Niet verrekenbare btw]]=1,Tb_Activiteiten[[#Headers],[Niet verrekenbare btw]],""))</f>
        <v>Niet verrekenbare btw</v>
      </c>
      <c r="AK27" t="str">
        <f>IF(ISNUMBER(FIND("overige",Methode_Keuze)),"",IF(Tb_Activiteiten[[#This Row],[Grondkosten]]=1,Tb_Activiteiten[[#Headers],[Grondkosten]],""))</f>
        <v>Grondkosten</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25">
      <c r="A28" s="337"/>
      <c r="F28" s="79"/>
      <c r="G28" s="79"/>
      <c r="L28" s="71"/>
      <c r="N28" t="str">
        <f>IFERROR(IF(VLOOKUP(Tb_Activiteiten[[#This Row],[Openstelling]],Tb_Openstelling[],2,0)=1,1,""),"")</f>
        <v/>
      </c>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25">
      <c r="A29" s="337"/>
      <c r="F29" s="79"/>
      <c r="G29" s="79"/>
      <c r="L29" s="71"/>
      <c r="N29" t="str">
        <f>IFERROR(IF(VLOOKUP(Tb_Activiteiten[[#This Row],[Openstelling]],Tb_Openstelling[],2,0)=1,1,""),"")</f>
        <v/>
      </c>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25">
      <c r="A30" s="337"/>
      <c r="F30" s="79"/>
      <c r="G30" s="79"/>
      <c r="L30" s="71"/>
      <c r="N30" t="str">
        <f>IFERROR(IF(VLOOKUP(Tb_Activiteiten[[#This Row],[Openstelling]],Tb_Openstelling[],2,0)=1,1,""),"")</f>
        <v/>
      </c>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25">
      <c r="A31" s="337"/>
      <c r="F31" s="79"/>
      <c r="G31" s="79"/>
      <c r="L31" s="71"/>
      <c r="N31" t="str">
        <f>IFERROR(IF(VLOOKUP(Tb_Activiteiten[[#This Row],[Openstelling]],Tb_Openstelling[],2,0)=1,1,""),"")</f>
        <v/>
      </c>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25">
      <c r="A32" s="337"/>
      <c r="F32" s="79"/>
      <c r="G32" s="79"/>
      <c r="L32" s="71"/>
      <c r="N32" t="str">
        <f>IFERROR(IF(VLOOKUP(Tb_Activiteiten[[#This Row],[Openstelling]],Tb_Openstelling[],2,0)=1,1,""),"")</f>
        <v/>
      </c>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25">
      <c r="A33" s="337"/>
      <c r="F33" s="79"/>
      <c r="G33" s="79"/>
      <c r="L33" s="71"/>
      <c r="N33" t="str">
        <f>IFERROR(IF(VLOOKUP(Tb_Activiteiten[[#This Row],[Openstelling]],Tb_Openstelling[],2,0)=1,1,""),"")</f>
        <v/>
      </c>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25">
      <c r="A34" s="337"/>
      <c r="F34" s="79"/>
      <c r="G34" s="79"/>
      <c r="L34" s="71"/>
      <c r="N34" t="str">
        <f>IFERROR(IF(VLOOKUP(Tb_Activiteiten[[#This Row],[Openstelling]],Tb_Openstelling[],2,0)=1,1,""),"")</f>
        <v/>
      </c>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25">
      <c r="A35" s="337"/>
      <c r="F35" s="79"/>
      <c r="G35" s="79"/>
      <c r="L35" s="71"/>
      <c r="N35" t="str">
        <f>IFERROR(IF(VLOOKUP(Tb_Activiteiten[[#This Row],[Openstelling]],Tb_Openstelling[],2,0)=1,1,""),"")</f>
        <v/>
      </c>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25">
      <c r="A36" s="337"/>
      <c r="F36" s="79"/>
      <c r="G36" s="79"/>
      <c r="L36" s="71"/>
      <c r="N36" t="str">
        <f>IFERROR(IF(VLOOKUP(Tb_Activiteiten[[#This Row],[Openstelling]],Tb_Openstelling[],2,0)=1,1,""),"")</f>
        <v/>
      </c>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25">
      <c r="A37" s="337"/>
      <c r="F37" s="79"/>
      <c r="G37" s="79"/>
      <c r="L37" s="71"/>
      <c r="N37" t="str">
        <f>IFERROR(IF(VLOOKUP(Tb_Activiteiten[[#This Row],[Openstelling]],Tb_Openstelling[],2,0)=1,1,""),"")</f>
        <v/>
      </c>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25">
      <c r="A38" s="337"/>
      <c r="F38" s="79"/>
      <c r="G38" s="79"/>
      <c r="L38" s="71"/>
      <c r="N38" t="str">
        <f>IFERROR(IF(VLOOKUP(Tb_Activiteiten[[#This Row],[Openstelling]],Tb_Openstelling[],2,0)=1,1,""),"")</f>
        <v/>
      </c>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25">
      <c r="A39" s="337"/>
      <c r="F39" s="79"/>
      <c r="G39" s="79"/>
      <c r="L39" s="71"/>
      <c r="N39" t="str">
        <f>IFERROR(IF(VLOOKUP(Tb_Activiteiten[[#This Row],[Openstelling]],Tb_Openstelling[],2,0)=1,1,""),"")</f>
        <v/>
      </c>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25">
      <c r="A40" s="337"/>
      <c r="F40" s="79"/>
      <c r="G40" s="79"/>
      <c r="L40" s="71"/>
      <c r="N40" t="str">
        <f>IFERROR(IF(VLOOKUP(Tb_Activiteiten[[#This Row],[Openstelling]],Tb_Openstelling[],2,0)=1,1,""),"")</f>
        <v/>
      </c>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25">
      <c r="A41" s="337"/>
      <c r="F41" s="79"/>
      <c r="G41" s="79"/>
      <c r="L41" s="71"/>
      <c r="N41" t="str">
        <f>IFERROR(IF(VLOOKUP(Tb_Activiteiten[[#This Row],[Openstelling]],Tb_Openstelling[],2,0)=1,1,""),"")</f>
        <v/>
      </c>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25">
      <c r="A42" s="337"/>
      <c r="F42" s="79"/>
      <c r="G42" s="79"/>
      <c r="L42" s="71"/>
      <c r="N42" t="str">
        <f>IFERROR(IF(VLOOKUP(Tb_Activiteiten[[#This Row],[Openstelling]],Tb_Openstelling[],2,0)=1,1,""),"")</f>
        <v/>
      </c>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25">
      <c r="A43" s="337"/>
      <c r="F43" s="79"/>
      <c r="G43" s="79"/>
      <c r="L43" s="71"/>
      <c r="N43" t="str">
        <f>IFERROR(IF(VLOOKUP(Tb_Activiteiten[[#This Row],[Openstelling]],Tb_Openstelling[],2,0)=1,1,""),"")</f>
        <v/>
      </c>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25">
      <c r="A44" s="337"/>
      <c r="F44" s="79"/>
      <c r="G44" s="79"/>
      <c r="L44" s="71"/>
      <c r="N44" t="str">
        <f>IFERROR(IF(VLOOKUP(Tb_Activiteiten[[#This Row],[Openstelling]],Tb_Openstelling[],2,0)=1,1,""),"")</f>
        <v/>
      </c>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25">
      <c r="A45" s="337"/>
      <c r="F45" s="79"/>
      <c r="G45" s="79"/>
      <c r="L45" s="71"/>
      <c r="N45" t="str">
        <f>IFERROR(IF(VLOOKUP(Tb_Activiteiten[[#This Row],[Openstelling]],Tb_Openstelling[],2,0)=1,1,""),"")</f>
        <v/>
      </c>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25">
      <c r="A46" s="337"/>
      <c r="F46" s="79"/>
      <c r="G46" s="79"/>
      <c r="L46" s="71"/>
      <c r="N46" t="str">
        <f>IFERROR(IF(VLOOKUP(Tb_Activiteiten[[#This Row],[Openstelling]],Tb_Openstelling[],2,0)=1,1,""),"")</f>
        <v/>
      </c>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25">
      <c r="A47" s="337"/>
      <c r="F47" s="79"/>
      <c r="G47" s="79"/>
      <c r="L47" s="71"/>
      <c r="N47" t="str">
        <f>IFERROR(IF(VLOOKUP(Tb_Activiteiten[[#This Row],[Openstelling]],Tb_Openstelling[],2,0)=1,1,""),"")</f>
        <v/>
      </c>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25">
      <c r="A48" s="337"/>
      <c r="F48" s="79"/>
      <c r="G48" s="79"/>
      <c r="L48" s="71"/>
      <c r="N48" t="str">
        <f>IFERROR(IF(VLOOKUP(Tb_Activiteiten[[#This Row],[Openstelling]],Tb_Openstelling[],2,0)=1,1,""),"")</f>
        <v/>
      </c>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25">
      <c r="A49" s="337"/>
      <c r="F49" s="79"/>
      <c r="G49" s="79"/>
      <c r="L49" s="71"/>
      <c r="N49" t="str">
        <f>IFERROR(IF(VLOOKUP(Tb_Activiteiten[[#This Row],[Openstelling]],Tb_Openstelling[],2,0)=1,1,""),"")</f>
        <v/>
      </c>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25">
      <c r="A50" s="337"/>
      <c r="F50" s="79"/>
      <c r="G50" s="79"/>
      <c r="L50" s="71"/>
      <c r="N50" t="str">
        <f>IFERROR(IF(VLOOKUP(Tb_Activiteiten[[#This Row],[Openstelling]],Tb_Openstelling[],2,0)=1,1,""),"")</f>
        <v/>
      </c>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25">
      <c r="A51" s="337"/>
      <c r="F51" s="79"/>
      <c r="G51" s="79"/>
      <c r="L51" s="71"/>
      <c r="N51" t="str">
        <f>IFERROR(IF(VLOOKUP(Tb_Activiteiten[[#This Row],[Openstelling]],Tb_Openstelling[],2,0)=1,1,""),"")</f>
        <v/>
      </c>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25">
      <c r="A52" s="337"/>
      <c r="F52" s="79"/>
      <c r="G52" s="79"/>
      <c r="L52" s="71"/>
      <c r="N52" t="str">
        <f>IFERROR(IF(VLOOKUP(Tb_Activiteiten[[#This Row],[Openstelling]],Tb_Openstelling[],2,0)=1,1,""),"")</f>
        <v/>
      </c>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25">
      <c r="A53" s="337"/>
      <c r="F53" s="79"/>
      <c r="G53" s="79"/>
      <c r="L53" s="71"/>
      <c r="N53" t="str">
        <f>IFERROR(IF(VLOOKUP(Tb_Activiteiten[[#This Row],[Openstelling]],Tb_Openstelling[],2,0)=1,1,""),"")</f>
        <v/>
      </c>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25">
      <c r="A54" s="337"/>
      <c r="F54" s="79"/>
      <c r="G54" s="79"/>
      <c r="L54" s="71"/>
      <c r="N54" t="str">
        <f>IFERROR(IF(VLOOKUP(Tb_Activiteiten[[#This Row],[Openstelling]],Tb_Openstelling[],2,0)=1,1,""),"")</f>
        <v/>
      </c>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25">
      <c r="A55" s="337"/>
      <c r="F55" s="79"/>
      <c r="G55" s="79"/>
      <c r="L55" s="71"/>
      <c r="N55" t="str">
        <f>IFERROR(IF(VLOOKUP(Tb_Activiteiten[[#This Row],[Openstelling]],Tb_Openstelling[],2,0)=1,1,""),"")</f>
        <v/>
      </c>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25">
      <c r="A56" s="337"/>
      <c r="F56" s="79"/>
      <c r="G56" s="79"/>
      <c r="L56" s="71"/>
      <c r="N56" t="str">
        <f>IFERROR(IF(VLOOKUP(Tb_Activiteiten[[#This Row],[Openstelling]],Tb_Openstelling[],2,0)=1,1,""),"")</f>
        <v/>
      </c>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25">
      <c r="A57" s="337"/>
      <c r="F57" s="79"/>
      <c r="G57" s="79"/>
      <c r="L57" s="71"/>
      <c r="N57" t="str">
        <f>IFERROR(IF(VLOOKUP(Tb_Activiteiten[[#This Row],[Openstelling]],Tb_Openstelling[],2,0)=1,1,""),"")</f>
        <v/>
      </c>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25">
      <c r="A58" s="337"/>
      <c r="F58" s="79"/>
      <c r="G58" s="79"/>
      <c r="L58" s="71"/>
      <c r="N58" t="str">
        <f>IFERROR(IF(VLOOKUP(Tb_Activiteiten[[#This Row],[Openstelling]],Tb_Openstelling[],2,0)=1,1,""),"")</f>
        <v/>
      </c>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25">
      <c r="A59" s="337"/>
      <c r="F59" s="79"/>
      <c r="G59" s="79"/>
      <c r="L59" s="71"/>
      <c r="N59" t="str">
        <f>IFERROR(IF(VLOOKUP(Tb_Activiteiten[[#This Row],[Openstelling]],Tb_Openstelling[],2,0)=1,1,""),"")</f>
        <v/>
      </c>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25">
      <c r="A60" s="337"/>
      <c r="F60" s="79"/>
      <c r="G60" s="79"/>
      <c r="L60" s="71"/>
      <c r="N60" t="str">
        <f>IFERROR(IF(VLOOKUP(Tb_Activiteiten[[#This Row],[Openstelling]],Tb_Openstelling[],2,0)=1,1,""),"")</f>
        <v/>
      </c>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25">
      <c r="A61" s="337"/>
      <c r="F61" s="79"/>
      <c r="G61" s="79"/>
      <c r="L61" s="71"/>
      <c r="N61" t="str">
        <f>IFERROR(IF(VLOOKUP(Tb_Activiteiten[[#This Row],[Openstelling]],Tb_Openstelling[],2,0)=1,1,""),"")</f>
        <v/>
      </c>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25">
      <c r="A62" s="337"/>
      <c r="F62" s="79"/>
      <c r="G62" s="79"/>
      <c r="L62" s="71"/>
      <c r="N62" t="str">
        <f>IFERROR(IF(VLOOKUP(Tb_Activiteiten[[#This Row],[Openstelling]],Tb_Openstelling[],2,0)=1,1,""),"")</f>
        <v/>
      </c>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25">
      <c r="A63" s="337"/>
      <c r="F63" s="79"/>
      <c r="G63" s="79"/>
      <c r="L63" s="71"/>
      <c r="N63" t="str">
        <f>IFERROR(IF(VLOOKUP(Tb_Activiteiten[[#This Row],[Openstelling]],Tb_Openstelling[],2,0)=1,1,""),"")</f>
        <v/>
      </c>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25">
      <c r="A64" s="337"/>
      <c r="F64" s="79"/>
      <c r="G64" s="79"/>
      <c r="L64" s="71"/>
      <c r="N64" t="str">
        <f>IFERROR(IF(VLOOKUP(Tb_Activiteiten[[#This Row],[Openstelling]],Tb_Openstelling[],2,0)=1,1,""),"")</f>
        <v/>
      </c>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25">
      <c r="A65" s="337"/>
      <c r="F65" s="79"/>
      <c r="G65" s="79"/>
      <c r="L65" s="71"/>
      <c r="N65" t="str">
        <f>IFERROR(IF(VLOOKUP(Tb_Activiteiten[[#This Row],[Openstelling]],Tb_Openstelling[],2,0)=1,1,""),"")</f>
        <v/>
      </c>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25">
      <c r="A66" s="337"/>
      <c r="F66" s="79"/>
      <c r="G66" s="79"/>
      <c r="L66" s="71"/>
      <c r="N66" t="str">
        <f>IFERROR(IF(VLOOKUP(Tb_Activiteiten[[#This Row],[Openstelling]],Tb_Openstelling[],2,0)=1,1,""),"")</f>
        <v/>
      </c>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25">
      <c r="A67" s="337"/>
      <c r="F67" s="79"/>
      <c r="G67" s="79"/>
      <c r="L67" s="71"/>
      <c r="N67" t="str">
        <f>IFERROR(IF(VLOOKUP(Tb_Activiteiten[[#This Row],[Openstelling]],Tb_Openstelling[],2,0)=1,1,""),"")</f>
        <v/>
      </c>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25">
      <c r="A68" s="337"/>
      <c r="F68" s="79"/>
      <c r="G68" s="79"/>
      <c r="L68" s="71"/>
      <c r="N68" t="str">
        <f>IFERROR(IF(VLOOKUP(Tb_Activiteiten[[#This Row],[Openstelling]],Tb_Openstelling[],2,0)=1,1,""),"")</f>
        <v/>
      </c>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25">
      <c r="A69" s="337"/>
      <c r="F69" s="79"/>
      <c r="G69" s="79"/>
      <c r="L69" s="71"/>
      <c r="N69" t="str">
        <f>IFERROR(IF(VLOOKUP(Tb_Activiteiten[[#This Row],[Openstelling]],Tb_Openstelling[],2,0)=1,1,""),"")</f>
        <v/>
      </c>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25">
      <c r="A70" s="337"/>
      <c r="F70" s="79"/>
      <c r="G70" s="79"/>
      <c r="L70" s="71"/>
      <c r="N70" t="str">
        <f>IFERROR(IF(VLOOKUP(Tb_Activiteiten[[#This Row],[Openstelling]],Tb_Openstelling[],2,0)=1,1,""),"")</f>
        <v/>
      </c>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25">
      <c r="A71" s="337"/>
      <c r="F71" s="79"/>
      <c r="G71" s="79"/>
      <c r="L71" s="71"/>
      <c r="N71" t="str">
        <f>IFERROR(IF(VLOOKUP(Tb_Activiteiten[[#This Row],[Openstelling]],Tb_Openstelling[],2,0)=1,1,""),"")</f>
        <v/>
      </c>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25">
      <c r="A72" s="337"/>
      <c r="F72" s="79"/>
      <c r="G72" s="79"/>
      <c r="L72" s="71"/>
      <c r="N72" t="str">
        <f>IFERROR(IF(VLOOKUP(Tb_Activiteiten[[#This Row],[Openstelling]],Tb_Openstelling[],2,0)=1,1,""),"")</f>
        <v/>
      </c>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25">
      <c r="A73" s="337"/>
      <c r="F73" s="79"/>
      <c r="G73" s="79"/>
      <c r="L73" s="71"/>
      <c r="N73" t="str">
        <f>IFERROR(IF(VLOOKUP(Tb_Activiteiten[[#This Row],[Openstelling]],Tb_Openstelling[],2,0)=1,1,""),"")</f>
        <v/>
      </c>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25">
      <c r="A74" s="337"/>
      <c r="F74" s="79"/>
      <c r="G74" s="79"/>
      <c r="L74" s="71"/>
      <c r="N74" t="str">
        <f>IFERROR(IF(VLOOKUP(Tb_Activiteiten[[#This Row],[Openstelling]],Tb_Openstelling[],2,0)=1,1,""),"")</f>
        <v/>
      </c>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25">
      <c r="A75" s="337"/>
      <c r="F75" s="79"/>
      <c r="G75" s="79"/>
      <c r="L75" s="71"/>
      <c r="N75" t="str">
        <f>IFERROR(IF(VLOOKUP(Tb_Activiteiten[[#This Row],[Openstelling]],Tb_Openstelling[],2,0)=1,1,""),"")</f>
        <v/>
      </c>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25">
      <c r="A76" s="337"/>
      <c r="F76" s="79"/>
      <c r="G76" s="79"/>
      <c r="L76" s="71"/>
      <c r="N76" t="str">
        <f>IFERROR(IF(VLOOKUP(Tb_Activiteiten[[#This Row],[Openstelling]],Tb_Openstelling[],2,0)=1,1,""),"")</f>
        <v/>
      </c>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25">
      <c r="A77" s="337"/>
      <c r="F77" s="79"/>
      <c r="G77" s="79"/>
      <c r="L77" s="71"/>
      <c r="N77" t="str">
        <f>IFERROR(IF(VLOOKUP(Tb_Activiteiten[[#This Row],[Openstelling]],Tb_Openstelling[],2,0)=1,1,""),"")</f>
        <v/>
      </c>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25">
      <c r="A78" s="337"/>
      <c r="F78" s="79"/>
      <c r="G78" s="79"/>
      <c r="L78" s="71"/>
      <c r="N78" t="str">
        <f>IFERROR(IF(VLOOKUP(Tb_Activiteiten[[#This Row],[Openstelling]],Tb_Openstelling[],2,0)=1,1,""),"")</f>
        <v/>
      </c>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25">
      <c r="A79" s="337"/>
      <c r="F79" s="79"/>
      <c r="G79" s="79"/>
      <c r="L79" s="71"/>
      <c r="N79" t="str">
        <f>IFERROR(IF(VLOOKUP(Tb_Activiteiten[[#This Row],[Openstelling]],Tb_Openstelling[],2,0)=1,1,""),"")</f>
        <v/>
      </c>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25">
      <c r="A80" s="337"/>
      <c r="F80" s="79"/>
      <c r="G80" s="79"/>
      <c r="L80" s="71"/>
      <c r="N80" t="str">
        <f>IFERROR(IF(VLOOKUP(Tb_Activiteiten[[#This Row],[Openstelling]],Tb_Openstelling[],2,0)=1,1,""),"")</f>
        <v/>
      </c>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25">
      <c r="A81" s="337"/>
      <c r="F81" s="79"/>
      <c r="G81" s="79"/>
      <c r="L81" s="71"/>
      <c r="N81" t="str">
        <f>IFERROR(IF(VLOOKUP(Tb_Activiteiten[[#This Row],[Openstelling]],Tb_Openstelling[],2,0)=1,1,""),"")</f>
        <v/>
      </c>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25">
      <c r="A82" s="337"/>
      <c r="F82" s="79"/>
      <c r="G82" s="79"/>
      <c r="L82" s="71"/>
      <c r="N82" t="str">
        <f>IFERROR(IF(VLOOKUP(Tb_Activiteiten[[#This Row],[Openstelling]],Tb_Openstelling[],2,0)=1,1,""),"")</f>
        <v/>
      </c>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25">
      <c r="A83" s="337"/>
      <c r="F83" s="79"/>
      <c r="G83" s="79"/>
      <c r="L83" s="71"/>
      <c r="N83" t="str">
        <f>IFERROR(IF(VLOOKUP(Tb_Activiteiten[[#This Row],[Openstelling]],Tb_Openstelling[],2,0)=1,1,""),"")</f>
        <v/>
      </c>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25">
      <c r="A84" s="337"/>
      <c r="F84" s="79"/>
      <c r="G84" s="79"/>
      <c r="L84" s="71"/>
      <c r="N84" t="str">
        <f>IFERROR(IF(VLOOKUP(Tb_Activiteiten[[#This Row],[Openstelling]],Tb_Openstelling[],2,0)=1,1,""),"")</f>
        <v/>
      </c>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25">
      <c r="A85" s="337"/>
      <c r="F85" s="79"/>
      <c r="G85" s="79"/>
      <c r="L85" s="71"/>
      <c r="N85" t="str">
        <f>IFERROR(IF(VLOOKUP(Tb_Activiteiten[[#This Row],[Openstelling]],Tb_Openstelling[],2,0)=1,1,""),"")</f>
        <v/>
      </c>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25">
      <c r="A86" s="337"/>
      <c r="F86" s="79"/>
      <c r="G86" s="79"/>
      <c r="L86" s="71"/>
      <c r="N86" t="str">
        <f>IFERROR(IF(VLOOKUP(Tb_Activiteiten[[#This Row],[Openstelling]],Tb_Openstelling[],2,0)=1,1,""),"")</f>
        <v/>
      </c>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25">
      <c r="A87" s="337"/>
      <c r="F87" s="79"/>
      <c r="G87" s="79"/>
      <c r="L87" s="71"/>
      <c r="N87" t="str">
        <f>IFERROR(IF(VLOOKUP(Tb_Activiteiten[[#This Row],[Openstelling]],Tb_Openstelling[],2,0)=1,1,""),"")</f>
        <v/>
      </c>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25">
      <c r="A88" s="337"/>
      <c r="F88" s="79"/>
      <c r="G88" s="79"/>
      <c r="L88" s="71"/>
      <c r="N88" t="str">
        <f>IFERROR(IF(VLOOKUP(Tb_Activiteiten[[#This Row],[Openstelling]],Tb_Openstelling[],2,0)=1,1,""),"")</f>
        <v/>
      </c>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25">
      <c r="A89" s="337"/>
      <c r="F89" s="79"/>
      <c r="G89" s="79"/>
      <c r="L89" s="71"/>
      <c r="N89" t="str">
        <f>IFERROR(IF(VLOOKUP(Tb_Activiteiten[[#This Row],[Openstelling]],Tb_Openstelling[],2,0)=1,1,""),"")</f>
        <v/>
      </c>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25">
      <c r="A90" s="337"/>
      <c r="F90" s="79"/>
      <c r="G90" s="79"/>
      <c r="L90" s="71"/>
      <c r="N90" t="str">
        <f>IFERROR(IF(VLOOKUP(Tb_Activiteiten[[#This Row],[Openstelling]],Tb_Openstelling[],2,0)=1,1,""),"")</f>
        <v/>
      </c>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25">
      <c r="A91" s="337"/>
      <c r="F91" s="79"/>
      <c r="G91" s="79"/>
      <c r="L91" s="71"/>
      <c r="N91" t="str">
        <f>IFERROR(IF(VLOOKUP(Tb_Activiteiten[[#This Row],[Openstelling]],Tb_Openstelling[],2,0)=1,1,""),"")</f>
        <v/>
      </c>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25">
      <c r="A92" s="337"/>
      <c r="F92" s="79"/>
      <c r="G92" s="79"/>
      <c r="L92" s="71"/>
      <c r="N92" t="str">
        <f>IFERROR(IF(VLOOKUP(Tb_Activiteiten[[#This Row],[Openstelling]],Tb_Openstelling[],2,0)=1,1,""),"")</f>
        <v/>
      </c>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25">
      <c r="A93" s="337"/>
      <c r="F93" s="79"/>
      <c r="G93" s="79"/>
      <c r="L93" s="71"/>
      <c r="N93" t="str">
        <f>IFERROR(IF(VLOOKUP(Tb_Activiteiten[[#This Row],[Openstelling]],Tb_Openstelling[],2,0)=1,1,""),"")</f>
        <v/>
      </c>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25">
      <c r="A94" s="337"/>
      <c r="F94" s="79"/>
      <c r="G94" s="79"/>
      <c r="L94" s="71"/>
      <c r="N94" t="str">
        <f>IFERROR(IF(VLOOKUP(Tb_Activiteiten[[#This Row],[Openstelling]],Tb_Openstelling[],2,0)=1,1,""),"")</f>
        <v/>
      </c>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25">
      <c r="A95" s="337"/>
      <c r="F95" s="79"/>
      <c r="G95" s="79"/>
      <c r="L95" s="71"/>
      <c r="N95" t="str">
        <f>IFERROR(IF(VLOOKUP(Tb_Activiteiten[[#This Row],[Openstelling]],Tb_Openstelling[],2,0)=1,1,""),"")</f>
        <v/>
      </c>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25">
      <c r="A96" s="337"/>
      <c r="F96" s="79"/>
      <c r="G96" s="79"/>
      <c r="L96" s="71"/>
      <c r="N96" t="str">
        <f>IFERROR(IF(VLOOKUP(Tb_Activiteiten[[#This Row],[Openstelling]],Tb_Openstelling[],2,0)=1,1,""),"")</f>
        <v/>
      </c>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25">
      <c r="A97" s="337"/>
      <c r="F97" s="79"/>
      <c r="G97" s="79"/>
      <c r="L97" s="71"/>
      <c r="N97" t="str">
        <f>IFERROR(IF(VLOOKUP(Tb_Activiteiten[[#This Row],[Openstelling]],Tb_Openstelling[],2,0)=1,1,""),"")</f>
        <v/>
      </c>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25">
      <c r="A98" s="337"/>
      <c r="F98" s="79"/>
      <c r="G98" s="79"/>
      <c r="L98" s="71"/>
      <c r="N98" t="str">
        <f>IFERROR(IF(VLOOKUP(Tb_Activiteiten[[#This Row],[Openstelling]],Tb_Openstelling[],2,0)=1,1,""),"")</f>
        <v/>
      </c>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25">
      <c r="A99" s="337"/>
      <c r="F99" s="79"/>
      <c r="G99" s="79"/>
      <c r="L99" s="71"/>
      <c r="N99" t="str">
        <f>IFERROR(IF(VLOOKUP(Tb_Activiteiten[[#This Row],[Openstelling]],Tb_Openstelling[],2,0)=1,1,""),"")</f>
        <v/>
      </c>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25">
      <c r="A100" s="337"/>
      <c r="F100" s="79"/>
      <c r="G100" s="79"/>
      <c r="L100" s="71"/>
      <c r="N100" t="str">
        <f>IFERROR(IF(VLOOKUP(Tb_Activiteiten[[#This Row],[Openstelling]],Tb_Openstelling[],2,0)=1,1,""),"")</f>
        <v/>
      </c>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25">
      <c r="A101" s="337"/>
      <c r="F101" s="79"/>
      <c r="G101" s="79"/>
      <c r="L101" s="71"/>
      <c r="N101" t="str">
        <f>IFERROR(IF(VLOOKUP(Tb_Activiteiten[[#This Row],[Openstelling]],Tb_Openstelling[],2,0)=1,1,""),"")</f>
        <v/>
      </c>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25">
      <c r="A102" s="337"/>
      <c r="F102" s="79"/>
      <c r="G102" s="79"/>
      <c r="L102" s="71"/>
      <c r="N102" t="str">
        <f>IFERROR(IF(VLOOKUP(Tb_Activiteiten[[#This Row],[Openstelling]],Tb_Openstelling[],2,0)=1,1,""),"")</f>
        <v/>
      </c>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25">
      <c r="A103" s="337"/>
      <c r="F103" s="79"/>
      <c r="G103" s="79"/>
      <c r="L103" s="71"/>
      <c r="N103" t="str">
        <f>IFERROR(IF(VLOOKUP(Tb_Activiteiten[[#This Row],[Openstelling]],Tb_Openstelling[],2,0)=1,1,""),"")</f>
        <v/>
      </c>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25">
      <c r="A104" s="337"/>
      <c r="F104" s="79"/>
      <c r="G104" s="79"/>
      <c r="L104" s="71"/>
      <c r="N104" t="str">
        <f>IFERROR(IF(VLOOKUP(Tb_Activiteiten[[#This Row],[Openstelling]],Tb_Openstelling[],2,0)=1,1,""),"")</f>
        <v/>
      </c>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25">
      <c r="A105" s="337"/>
      <c r="F105" s="79"/>
      <c r="G105" s="79"/>
      <c r="L105" s="71"/>
      <c r="N105" t="str">
        <f>IFERROR(IF(VLOOKUP(Tb_Activiteiten[[#This Row],[Openstelling]],Tb_Openstelling[],2,0)=1,1,""),"")</f>
        <v/>
      </c>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25">
      <c r="A106" s="337"/>
      <c r="F106" s="79"/>
      <c r="G106" s="79"/>
      <c r="L106" s="71"/>
      <c r="N106" t="str">
        <f>IFERROR(IF(VLOOKUP(Tb_Activiteiten[[#This Row],[Openstelling]],Tb_Openstelling[],2,0)=1,1,""),"")</f>
        <v/>
      </c>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25">
      <c r="A107" s="337"/>
      <c r="F107" s="79"/>
      <c r="G107" s="79"/>
      <c r="L107" s="71"/>
      <c r="N107" t="str">
        <f>IFERROR(IF(VLOOKUP(Tb_Activiteiten[[#This Row],[Openstelling]],Tb_Openstelling[],2,0)=1,1,""),"")</f>
        <v/>
      </c>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25">
      <c r="A108" s="337"/>
      <c r="F108" s="79"/>
      <c r="G108" s="79"/>
      <c r="L108" s="71"/>
      <c r="N108" t="str">
        <f>IFERROR(IF(VLOOKUP(Tb_Activiteiten[[#This Row],[Openstelling]],Tb_Openstelling[],2,0)=1,1,""),"")</f>
        <v/>
      </c>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25">
      <c r="A109" s="337"/>
      <c r="F109" s="79"/>
      <c r="G109" s="79"/>
      <c r="L109" s="71"/>
      <c r="N109" t="str">
        <f>IFERROR(IF(VLOOKUP(Tb_Activiteiten[[#This Row],[Openstelling]],Tb_Openstelling[],2,0)=1,1,""),"")</f>
        <v/>
      </c>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25">
      <c r="A110" s="337"/>
      <c r="F110" s="79"/>
      <c r="G110" s="79"/>
      <c r="L110" s="71"/>
      <c r="N110" t="str">
        <f>IFERROR(IF(VLOOKUP(Tb_Activiteiten[[#This Row],[Openstelling]],Tb_Openstelling[],2,0)=1,1,""),"")</f>
        <v/>
      </c>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25">
      <c r="A111" s="337"/>
      <c r="F111" s="79"/>
      <c r="G111" s="79"/>
      <c r="L111" s="71"/>
      <c r="N111" t="str">
        <f>IFERROR(IF(VLOOKUP(Tb_Activiteiten[[#This Row],[Openstelling]],Tb_Openstelling[],2,0)=1,1,""),"")</f>
        <v/>
      </c>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25">
      <c r="A112" s="337"/>
      <c r="F112" s="79"/>
      <c r="G112" s="79"/>
      <c r="L112" s="71"/>
      <c r="N112" t="str">
        <f>IFERROR(IF(VLOOKUP(Tb_Activiteiten[[#This Row],[Openstelling]],Tb_Openstelling[],2,0)=1,1,""),"")</f>
        <v/>
      </c>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25">
      <c r="A113" s="337"/>
      <c r="F113" s="79"/>
      <c r="G113" s="79"/>
      <c r="L113" s="71"/>
      <c r="N113" t="str">
        <f>IFERROR(IF(VLOOKUP(Tb_Activiteiten[[#This Row],[Openstelling]],Tb_Openstelling[],2,0)=1,1,""),"")</f>
        <v/>
      </c>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25">
      <c r="A114" s="337"/>
      <c r="F114" s="79"/>
      <c r="G114" s="79"/>
      <c r="L114" s="71"/>
      <c r="N114" t="str">
        <f>IFERROR(IF(VLOOKUP(Tb_Activiteiten[[#This Row],[Openstelling]],Tb_Openstelling[],2,0)=1,1,""),"")</f>
        <v/>
      </c>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25">
      <c r="A115" s="337"/>
      <c r="F115" s="79"/>
      <c r="G115" s="79"/>
      <c r="L115" s="71"/>
      <c r="N115" t="str">
        <f>IFERROR(IF(VLOOKUP(Tb_Activiteiten[[#This Row],[Openstelling]],Tb_Openstelling[],2,0)=1,1,""),"")</f>
        <v/>
      </c>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25">
      <c r="A116" s="337"/>
      <c r="F116" s="79"/>
      <c r="G116" s="79"/>
      <c r="L116" s="71"/>
      <c r="N116" t="str">
        <f>IFERROR(IF(VLOOKUP(Tb_Activiteiten[[#This Row],[Openstelling]],Tb_Openstelling[],2,0)=1,1,""),"")</f>
        <v/>
      </c>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25">
      <c r="A117" s="337"/>
      <c r="F117" s="79"/>
      <c r="G117" s="79"/>
      <c r="L117" s="71"/>
      <c r="N117" t="str">
        <f>IFERROR(IF(VLOOKUP(Tb_Activiteiten[[#This Row],[Openstelling]],Tb_Openstelling[],2,0)=1,1,""),"")</f>
        <v/>
      </c>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25">
      <c r="A118" s="337"/>
      <c r="F118" s="79"/>
      <c r="G118" s="79"/>
      <c r="L118" s="71"/>
      <c r="N118" t="str">
        <f>IFERROR(IF(VLOOKUP(Tb_Activiteiten[[#This Row],[Openstelling]],Tb_Openstelling[],2,0)=1,1,""),"")</f>
        <v/>
      </c>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25">
      <c r="A119" s="337"/>
      <c r="F119" s="79"/>
      <c r="G119" s="79"/>
      <c r="L119" s="71"/>
      <c r="N119" t="str">
        <f>IFERROR(IF(VLOOKUP(Tb_Activiteiten[[#This Row],[Openstelling]],Tb_Openstelling[],2,0)=1,1,""),"")</f>
        <v/>
      </c>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25">
      <c r="A120" s="337"/>
      <c r="F120" s="79"/>
      <c r="G120" s="79"/>
      <c r="L120" s="71"/>
      <c r="N120" t="str">
        <f>IFERROR(IF(VLOOKUP(Tb_Activiteiten[[#This Row],[Openstelling]],Tb_Openstelling[],2,0)=1,1,""),"")</f>
        <v/>
      </c>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25">
      <c r="A121" s="337"/>
      <c r="F121" s="79"/>
      <c r="G121" s="79"/>
      <c r="L121" s="71"/>
      <c r="N121" t="str">
        <f>IFERROR(IF(VLOOKUP(Tb_Activiteiten[[#This Row],[Openstelling]],Tb_Openstelling[],2,0)=1,1,""),"")</f>
        <v/>
      </c>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25">
      <c r="A122" s="337"/>
      <c r="F122" s="79"/>
      <c r="G122" s="79"/>
      <c r="L122" s="71"/>
      <c r="N122" t="str">
        <f>IFERROR(IF(VLOOKUP(Tb_Activiteiten[[#This Row],[Openstelling]],Tb_Openstelling[],2,0)=1,1,""),"")</f>
        <v/>
      </c>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25">
      <c r="A123" s="337"/>
      <c r="F123" s="79"/>
      <c r="G123" s="79"/>
      <c r="L123" s="71"/>
      <c r="N123" t="str">
        <f>IFERROR(IF(VLOOKUP(Tb_Activiteiten[[#This Row],[Openstelling]],Tb_Openstelling[],2,0)=1,1,""),"")</f>
        <v/>
      </c>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25">
      <c r="A124" s="337"/>
      <c r="F124" s="79"/>
      <c r="G124" s="79"/>
      <c r="L124" s="71"/>
      <c r="N124" t="str">
        <f>IFERROR(IF(VLOOKUP(Tb_Activiteiten[[#This Row],[Openstelling]],Tb_Openstelling[],2,0)=1,1,""),"")</f>
        <v/>
      </c>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25">
      <c r="A125" s="337"/>
      <c r="F125" s="79"/>
      <c r="G125" s="79"/>
      <c r="L125" s="71"/>
      <c r="N125" t="str">
        <f>IFERROR(IF(VLOOKUP(Tb_Activiteiten[[#This Row],[Openstelling]],Tb_Openstelling[],2,0)=1,1,""),"")</f>
        <v/>
      </c>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25">
      <c r="A126" s="337"/>
      <c r="F126" s="79"/>
      <c r="G126" s="79"/>
      <c r="L126" s="71"/>
      <c r="N126" t="str">
        <f>IFERROR(IF(VLOOKUP(Tb_Activiteiten[[#This Row],[Openstelling]],Tb_Openstelling[],2,0)=1,1,""),"")</f>
        <v/>
      </c>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25">
      <c r="A127" s="337"/>
      <c r="F127" s="79"/>
      <c r="G127" s="79"/>
      <c r="L127" s="71"/>
      <c r="N127" t="str">
        <f>IFERROR(IF(VLOOKUP(Tb_Activiteiten[[#This Row],[Openstelling]],Tb_Openstelling[],2,0)=1,1,""),"")</f>
        <v/>
      </c>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25">
      <c r="A128" s="337"/>
      <c r="F128" s="79"/>
      <c r="G128" s="79"/>
      <c r="L128" s="71"/>
      <c r="N128" t="str">
        <f>IFERROR(IF(VLOOKUP(Tb_Activiteiten[[#This Row],[Openstelling]],Tb_Openstelling[],2,0)=1,1,""),"")</f>
        <v/>
      </c>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25">
      <c r="A129" s="337"/>
      <c r="F129" s="79"/>
      <c r="G129" s="79"/>
      <c r="L129" s="71"/>
      <c r="N129" t="str">
        <f>IFERROR(IF(VLOOKUP(Tb_Activiteiten[[#This Row],[Openstelling]],Tb_Openstelling[],2,0)=1,1,""),"")</f>
        <v/>
      </c>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25">
      <c r="A130" s="337"/>
      <c r="F130" s="79"/>
      <c r="G130" s="79"/>
      <c r="L130" s="71"/>
      <c r="N130" t="str">
        <f>IFERROR(IF(VLOOKUP(Tb_Activiteiten[[#This Row],[Openstelling]],Tb_Openstelling[],2,0)=1,1,""),"")</f>
        <v/>
      </c>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25">
      <c r="A131" s="337"/>
      <c r="F131" s="79"/>
      <c r="G131" s="79"/>
      <c r="L131" s="71"/>
      <c r="N131" t="str">
        <f>IFERROR(IF(VLOOKUP(Tb_Activiteiten[[#This Row],[Openstelling]],Tb_Openstelling[],2,0)=1,1,""),"")</f>
        <v/>
      </c>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25">
      <c r="A132" s="337"/>
      <c r="F132" s="79"/>
      <c r="G132" s="79"/>
      <c r="L132" s="71"/>
      <c r="N132" t="str">
        <f>IFERROR(IF(VLOOKUP(Tb_Activiteiten[[#This Row],[Openstelling]],Tb_Openstelling[],2,0)=1,1,""),"")</f>
        <v/>
      </c>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25">
      <c r="A133" s="337"/>
      <c r="F133" s="79"/>
      <c r="G133" s="79"/>
      <c r="L133" s="71"/>
      <c r="N133" t="str">
        <f>IFERROR(IF(VLOOKUP(Tb_Activiteiten[[#This Row],[Openstelling]],Tb_Openstelling[],2,0)=1,1,""),"")</f>
        <v/>
      </c>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25">
      <c r="A134" s="337"/>
      <c r="F134" s="79"/>
      <c r="G134" s="79"/>
      <c r="L134" s="71"/>
      <c r="N134" t="str">
        <f>IFERROR(IF(VLOOKUP(Tb_Activiteiten[[#This Row],[Openstelling]],Tb_Openstelling[],2,0)=1,1,""),"")</f>
        <v/>
      </c>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25">
      <c r="A135" s="337"/>
      <c r="F135" s="79"/>
      <c r="G135" s="79"/>
      <c r="L135" s="71"/>
      <c r="N135" t="str">
        <f>IFERROR(IF(VLOOKUP(Tb_Activiteiten[[#This Row],[Openstelling]],Tb_Openstelling[],2,0)=1,1,""),"")</f>
        <v/>
      </c>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25">
      <c r="A136" s="337"/>
      <c r="F136" s="79"/>
      <c r="G136" s="79"/>
      <c r="L136" s="71"/>
      <c r="N136" t="str">
        <f>IFERROR(IF(VLOOKUP(Tb_Activiteiten[[#This Row],[Openstelling]],Tb_Openstelling[],2,0)=1,1,""),"")</f>
        <v/>
      </c>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25">
      <c r="A137" s="337"/>
      <c r="F137" s="79"/>
      <c r="G137" s="79"/>
      <c r="L137" s="71"/>
      <c r="N137" t="str">
        <f>IFERROR(IF(VLOOKUP(Tb_Activiteiten[[#This Row],[Openstelling]],Tb_Openstelling[],2,0)=1,1,""),"")</f>
        <v/>
      </c>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25">
      <c r="A138" s="337"/>
      <c r="F138" s="79"/>
      <c r="G138" s="79"/>
      <c r="L138" s="71"/>
      <c r="N138" t="str">
        <f>IFERROR(IF(VLOOKUP(Tb_Activiteiten[[#This Row],[Openstelling]],Tb_Openstelling[],2,0)=1,1,""),"")</f>
        <v/>
      </c>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25">
      <c r="A139" s="337"/>
      <c r="F139" s="79"/>
      <c r="G139" s="79"/>
      <c r="L139" s="71"/>
      <c r="N139" t="str">
        <f>IFERROR(IF(VLOOKUP(Tb_Activiteiten[[#This Row],[Openstelling]],Tb_Openstelling[],2,0)=1,1,""),"")</f>
        <v/>
      </c>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25">
      <c r="A140" s="337"/>
      <c r="F140" s="79"/>
      <c r="G140" s="79"/>
      <c r="L140" s="71"/>
      <c r="N140" t="str">
        <f>IFERROR(IF(VLOOKUP(Tb_Activiteiten[[#This Row],[Openstelling]],Tb_Openstelling[],2,0)=1,1,""),"")</f>
        <v/>
      </c>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25">
      <c r="A141" s="337"/>
      <c r="F141" s="79"/>
      <c r="G141" s="79"/>
      <c r="L141" s="71"/>
      <c r="N141" t="str">
        <f>IFERROR(IF(VLOOKUP(Tb_Activiteiten[[#This Row],[Openstelling]],Tb_Openstelling[],2,0)=1,1,""),"")</f>
        <v/>
      </c>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25">
      <c r="A142" s="337"/>
      <c r="F142" s="79"/>
      <c r="G142" s="79"/>
      <c r="L142" s="71"/>
      <c r="N142" t="str">
        <f>IFERROR(IF(VLOOKUP(Tb_Activiteiten[[#This Row],[Openstelling]],Tb_Openstelling[],2,0)=1,1,""),"")</f>
        <v/>
      </c>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25">
      <c r="A143" s="337"/>
      <c r="F143" s="79"/>
      <c r="G143" s="79"/>
      <c r="L143" s="71"/>
      <c r="N143" t="str">
        <f>IFERROR(IF(VLOOKUP(Tb_Activiteiten[[#This Row],[Openstelling]],Tb_Openstelling[],2,0)=1,1,""),"")</f>
        <v/>
      </c>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25">
      <c r="A144" s="337"/>
      <c r="F144" s="79"/>
      <c r="G144" s="79"/>
      <c r="L144" s="71"/>
      <c r="N144" t="str">
        <f>IFERROR(IF(VLOOKUP(Tb_Activiteiten[[#This Row],[Openstelling]],Tb_Openstelling[],2,0)=1,1,""),"")</f>
        <v/>
      </c>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25">
      <c r="A145" s="337"/>
      <c r="F145" s="79"/>
      <c r="G145" s="79"/>
      <c r="L145" s="71"/>
      <c r="N145" t="str">
        <f>IFERROR(IF(VLOOKUP(Tb_Activiteiten[[#This Row],[Openstelling]],Tb_Openstelling[],2,0)=1,1,""),"")</f>
        <v/>
      </c>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25">
      <c r="A146" s="337"/>
      <c r="F146" s="79"/>
      <c r="G146" s="79"/>
      <c r="L146" s="71"/>
      <c r="N146" t="str">
        <f>IFERROR(IF(VLOOKUP(Tb_Activiteiten[[#This Row],[Openstelling]],Tb_Openstelling[],2,0)=1,1,""),"")</f>
        <v/>
      </c>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25">
      <c r="A147" s="337"/>
      <c r="F147" s="79"/>
      <c r="G147" s="79"/>
      <c r="L147" s="71"/>
      <c r="N147" t="str">
        <f>IFERROR(IF(VLOOKUP(Tb_Activiteiten[[#This Row],[Openstelling]],Tb_Openstelling[],2,0)=1,1,""),"")</f>
        <v/>
      </c>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25">
      <c r="A148" s="337"/>
      <c r="F148" s="79"/>
      <c r="G148" s="79"/>
      <c r="L148" s="71"/>
      <c r="N148" t="str">
        <f>IFERROR(IF(VLOOKUP(Tb_Activiteiten[[#This Row],[Openstelling]],Tb_Openstelling[],2,0)=1,1,""),"")</f>
        <v/>
      </c>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25">
      <c r="A149" s="337"/>
      <c r="F149" s="79"/>
      <c r="G149" s="79"/>
      <c r="L149" s="71"/>
      <c r="N149" t="str">
        <f>IFERROR(IF(VLOOKUP(Tb_Activiteiten[[#This Row],[Openstelling]],Tb_Openstelling[],2,0)=1,1,""),"")</f>
        <v/>
      </c>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25">
      <c r="A150" s="337"/>
      <c r="F150" s="79"/>
      <c r="G150" s="79"/>
      <c r="L150" s="71"/>
      <c r="N150" t="str">
        <f>IFERROR(IF(VLOOKUP(Tb_Activiteiten[[#This Row],[Openstelling]],Tb_Openstelling[],2,0)=1,1,""),"")</f>
        <v/>
      </c>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25">
      <c r="A151" s="337"/>
      <c r="F151" s="79"/>
      <c r="G151" s="79"/>
      <c r="L151" s="71"/>
      <c r="N151" t="str">
        <f>IFERROR(IF(VLOOKUP(Tb_Activiteiten[[#This Row],[Openstelling]],Tb_Openstelling[],2,0)=1,1,""),"")</f>
        <v/>
      </c>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25">
      <c r="A152" s="337"/>
      <c r="F152" s="79"/>
      <c r="G152" s="79"/>
      <c r="L152" s="71"/>
      <c r="N152" t="str">
        <f>IFERROR(IF(VLOOKUP(Tb_Activiteiten[[#This Row],[Openstelling]],Tb_Openstelling[],2,0)=1,1,""),"")</f>
        <v/>
      </c>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25">
      <c r="A153" s="337"/>
      <c r="F153" s="79"/>
      <c r="G153" s="79"/>
      <c r="L153" s="71"/>
      <c r="N153" t="str">
        <f>IFERROR(IF(VLOOKUP(Tb_Activiteiten[[#This Row],[Openstelling]],Tb_Openstelling[],2,0)=1,1,""),"")</f>
        <v/>
      </c>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25">
      <c r="A154" s="337"/>
      <c r="F154" s="79"/>
      <c r="G154" s="79"/>
      <c r="L154" s="71"/>
      <c r="N154" t="str">
        <f>IFERROR(IF(VLOOKUP(Tb_Activiteiten[[#This Row],[Openstelling]],Tb_Openstelling[],2,0)=1,1,""),"")</f>
        <v/>
      </c>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25">
      <c r="A155" s="337"/>
      <c r="F155" s="79"/>
      <c r="G155" s="79"/>
      <c r="L155" s="71"/>
      <c r="N155" t="str">
        <f>IFERROR(IF(VLOOKUP(Tb_Activiteiten[[#This Row],[Openstelling]],Tb_Openstelling[],2,0)=1,1,""),"")</f>
        <v/>
      </c>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25">
      <c r="A156" s="337"/>
      <c r="F156" s="79"/>
      <c r="G156" s="79"/>
      <c r="L156" s="71"/>
      <c r="N156" t="str">
        <f>IFERROR(IF(VLOOKUP(Tb_Activiteiten[[#This Row],[Openstelling]],Tb_Openstelling[],2,0)=1,1,""),"")</f>
        <v/>
      </c>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25">
      <c r="A157" s="337"/>
      <c r="F157" s="79"/>
      <c r="G157" s="79"/>
      <c r="L157" s="71"/>
      <c r="N157" t="str">
        <f>IFERROR(IF(VLOOKUP(Tb_Activiteiten[[#This Row],[Openstelling]],Tb_Openstelling[],2,0)=1,1,""),"")</f>
        <v/>
      </c>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25">
      <c r="A158" s="337"/>
      <c r="F158" s="79"/>
      <c r="G158" s="79"/>
      <c r="L158" s="71"/>
      <c r="N158" t="str">
        <f>IFERROR(IF(VLOOKUP(Tb_Activiteiten[[#This Row],[Openstelling]],Tb_Openstelling[],2,0)=1,1,""),"")</f>
        <v/>
      </c>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25">
      <c r="A159" s="337"/>
      <c r="F159" s="79"/>
      <c r="G159" s="79"/>
      <c r="L159" s="71"/>
      <c r="N159" t="str">
        <f>IFERROR(IF(VLOOKUP(Tb_Activiteiten[[#This Row],[Openstelling]],Tb_Openstelling[],2,0)=1,1,""),"")</f>
        <v/>
      </c>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25">
      <c r="A160" s="337"/>
      <c r="F160" s="79"/>
      <c r="G160" s="79"/>
      <c r="L160" s="71"/>
      <c r="N160" t="str">
        <f>IFERROR(IF(VLOOKUP(Tb_Activiteiten[[#This Row],[Openstelling]],Tb_Openstelling[],2,0)=1,1,""),"")</f>
        <v/>
      </c>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25">
      <c r="A161" s="337"/>
      <c r="F161" s="79"/>
      <c r="G161" s="79"/>
      <c r="L161" s="71"/>
      <c r="N161" t="str">
        <f>IFERROR(IF(VLOOKUP(Tb_Activiteiten[[#This Row],[Openstelling]],Tb_Openstelling[],2,0)=1,1,""),"")</f>
        <v/>
      </c>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25">
      <c r="A162" s="337"/>
      <c r="F162" s="79"/>
      <c r="G162" s="79"/>
      <c r="L162" s="71"/>
      <c r="N162" t="str">
        <f>IFERROR(IF(VLOOKUP(Tb_Activiteiten[[#This Row],[Openstelling]],Tb_Openstelling[],2,0)=1,1,""),"")</f>
        <v/>
      </c>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25">
      <c r="A163" s="337"/>
      <c r="F163" s="79"/>
      <c r="G163" s="79"/>
      <c r="L163" s="71"/>
      <c r="N163" t="str">
        <f>IFERROR(IF(VLOOKUP(Tb_Activiteiten[[#This Row],[Openstelling]],Tb_Openstelling[],2,0)=1,1,""),"")</f>
        <v/>
      </c>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25">
      <c r="A164" s="337"/>
      <c r="F164" s="79"/>
      <c r="G164" s="79"/>
      <c r="L164" s="71"/>
      <c r="N164" t="str">
        <f>IFERROR(IF(VLOOKUP(Tb_Activiteiten[[#This Row],[Openstelling]],Tb_Openstelling[],2,0)=1,1,""),"")</f>
        <v/>
      </c>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25">
      <c r="A165" s="337"/>
      <c r="F165" s="79"/>
      <c r="G165" s="79"/>
      <c r="L165" s="71"/>
      <c r="N165" t="str">
        <f>IFERROR(IF(VLOOKUP(Tb_Activiteiten[[#This Row],[Openstelling]],Tb_Openstelling[],2,0)=1,1,""),"")</f>
        <v/>
      </c>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25">
      <c r="A166" s="337"/>
      <c r="F166" s="79"/>
      <c r="G166" s="79"/>
      <c r="L166" s="71"/>
      <c r="N166" t="str">
        <f>IFERROR(IF(VLOOKUP(Tb_Activiteiten[[#This Row],[Openstelling]],Tb_Openstelling[],2,0)=1,1,""),"")</f>
        <v/>
      </c>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25">
      <c r="A167" s="337"/>
      <c r="F167" s="79"/>
      <c r="G167" s="79"/>
      <c r="L167" s="71"/>
      <c r="N167" t="str">
        <f>IFERROR(IF(VLOOKUP(Tb_Activiteiten[[#This Row],[Openstelling]],Tb_Openstelling[],2,0)=1,1,""),"")</f>
        <v/>
      </c>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25">
      <c r="A168" s="337"/>
      <c r="F168" s="79"/>
      <c r="G168" s="79"/>
      <c r="L168" s="71"/>
      <c r="N168" t="str">
        <f>IFERROR(IF(VLOOKUP(Tb_Activiteiten[[#This Row],[Openstelling]],Tb_Openstelling[],2,0)=1,1,""),"")</f>
        <v/>
      </c>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25">
      <c r="A169" s="337"/>
      <c r="F169" s="79"/>
      <c r="G169" s="79"/>
      <c r="L169" s="71"/>
      <c r="N169" t="str">
        <f>IFERROR(IF(VLOOKUP(Tb_Activiteiten[[#This Row],[Openstelling]],Tb_Openstelling[],2,0)=1,1,""),"")</f>
        <v/>
      </c>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25">
      <c r="A170" s="337"/>
      <c r="F170" s="79"/>
      <c r="G170" s="79"/>
      <c r="L170" s="71"/>
      <c r="N170" t="str">
        <f>IFERROR(IF(VLOOKUP(Tb_Activiteiten[[#This Row],[Openstelling]],Tb_Openstelling[],2,0)=1,1,""),"")</f>
        <v/>
      </c>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25">
      <c r="A171" s="337"/>
      <c r="F171" s="79"/>
      <c r="G171" s="79"/>
      <c r="L171" s="71"/>
      <c r="N171" t="str">
        <f>IFERROR(IF(VLOOKUP(Tb_Activiteiten[[#This Row],[Openstelling]],Tb_Openstelling[],2,0)=1,1,""),"")</f>
        <v/>
      </c>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25">
      <c r="A172" s="337"/>
      <c r="F172" s="79"/>
      <c r="G172" s="79"/>
      <c r="L172" s="71"/>
      <c r="N172" t="str">
        <f>IFERROR(IF(VLOOKUP(Tb_Activiteiten[[#This Row],[Openstelling]],Tb_Openstelling[],2,0)=1,1,""),"")</f>
        <v/>
      </c>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25">
      <c r="A173" s="337"/>
      <c r="F173" s="79"/>
      <c r="G173" s="79"/>
      <c r="L173" s="71"/>
      <c r="N173" t="str">
        <f>IFERROR(IF(VLOOKUP(Tb_Activiteiten[[#This Row],[Openstelling]],Tb_Openstelling[],2,0)=1,1,""),"")</f>
        <v/>
      </c>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25">
      <c r="A174" s="337"/>
      <c r="F174" s="79"/>
      <c r="G174" s="79"/>
      <c r="L174" s="71"/>
      <c r="N174" t="str">
        <f>IFERROR(IF(VLOOKUP(Tb_Activiteiten[[#This Row],[Openstelling]],Tb_Openstelling[],2,0)=1,1,""),"")</f>
        <v/>
      </c>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25">
      <c r="A175" s="337"/>
      <c r="F175" s="79"/>
      <c r="G175" s="79"/>
      <c r="L175" s="71"/>
      <c r="N175" t="str">
        <f>IFERROR(IF(VLOOKUP(Tb_Activiteiten[[#This Row],[Openstelling]],Tb_Openstelling[],2,0)=1,1,""),"")</f>
        <v/>
      </c>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25">
      <c r="A176" s="337"/>
      <c r="F176" s="79"/>
      <c r="G176" s="79"/>
      <c r="L176" s="71"/>
      <c r="N176" t="str">
        <f>IFERROR(IF(VLOOKUP(Tb_Activiteiten[[#This Row],[Openstelling]],Tb_Openstelling[],2,0)=1,1,""),"")</f>
        <v/>
      </c>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25">
      <c r="A177" s="337"/>
      <c r="F177" s="79"/>
      <c r="G177" s="79"/>
      <c r="L177" s="71"/>
      <c r="N177" t="str">
        <f>IFERROR(IF(VLOOKUP(Tb_Activiteiten[[#This Row],[Openstelling]],Tb_Openstelling[],2,0)=1,1,""),"")</f>
        <v/>
      </c>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25">
      <c r="A178" s="337"/>
      <c r="F178" s="79"/>
      <c r="G178" s="79"/>
      <c r="L178" s="71"/>
      <c r="N178" t="str">
        <f>IFERROR(IF(VLOOKUP(Tb_Activiteiten[[#This Row],[Openstelling]],Tb_Openstelling[],2,0)=1,1,""),"")</f>
        <v/>
      </c>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25">
      <c r="A179" s="337"/>
      <c r="F179" s="79"/>
      <c r="G179" s="79"/>
      <c r="L179" s="71"/>
      <c r="N179" t="str">
        <f>IFERROR(IF(VLOOKUP(Tb_Activiteiten[[#This Row],[Openstelling]],Tb_Openstelling[],2,0)=1,1,""),"")</f>
        <v/>
      </c>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25">
      <c r="A180" s="337"/>
      <c r="F180" s="79"/>
      <c r="G180" s="79"/>
      <c r="L180" s="71"/>
      <c r="N180" t="str">
        <f>IFERROR(IF(VLOOKUP(Tb_Activiteiten[[#This Row],[Openstelling]],Tb_Openstelling[],2,0)=1,1,""),"")</f>
        <v/>
      </c>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25">
      <c r="A181" s="337"/>
      <c r="F181" s="79"/>
      <c r="G181" s="79"/>
      <c r="L181" s="71"/>
      <c r="N181" t="str">
        <f>IFERROR(IF(VLOOKUP(Tb_Activiteiten[[#This Row],[Openstelling]],Tb_Openstelling[],2,0)=1,1,""),"")</f>
        <v/>
      </c>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25">
      <c r="A182" s="337"/>
      <c r="F182" s="79"/>
      <c r="G182" s="79"/>
      <c r="L182" s="71"/>
      <c r="N182" t="str">
        <f>IFERROR(IF(VLOOKUP(Tb_Activiteiten[[#This Row],[Openstelling]],Tb_Openstelling[],2,0)=1,1,""),"")</f>
        <v/>
      </c>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25">
      <c r="A183" s="337"/>
      <c r="F183" s="79"/>
      <c r="G183" s="79"/>
      <c r="L183" s="71"/>
      <c r="N183" t="str">
        <f>IFERROR(IF(VLOOKUP(Tb_Activiteiten[[#This Row],[Openstelling]],Tb_Openstelling[],2,0)=1,1,""),"")</f>
        <v/>
      </c>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25">
      <c r="A184" s="337"/>
      <c r="F184" s="79"/>
      <c r="G184" s="79"/>
      <c r="L184" s="71"/>
      <c r="N184" t="str">
        <f>IFERROR(IF(VLOOKUP(Tb_Activiteiten[[#This Row],[Openstelling]],Tb_Openstelling[],2,0)=1,1,""),"")</f>
        <v/>
      </c>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25">
      <c r="A185" s="337"/>
      <c r="F185" s="79"/>
      <c r="G185" s="79"/>
      <c r="L185" s="71"/>
      <c r="N185" t="str">
        <f>IFERROR(IF(VLOOKUP(Tb_Activiteiten[[#This Row],[Openstelling]],Tb_Openstelling[],2,0)=1,1,""),"")</f>
        <v/>
      </c>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25">
      <c r="A186" s="337"/>
      <c r="F186" s="79"/>
      <c r="G186" s="79"/>
      <c r="L186" s="71"/>
      <c r="N186" t="str">
        <f>IFERROR(IF(VLOOKUP(Tb_Activiteiten[[#This Row],[Openstelling]],Tb_Openstelling[],2,0)=1,1,""),"")</f>
        <v/>
      </c>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25">
      <c r="A187" s="337"/>
      <c r="F187" s="79"/>
      <c r="G187" s="79"/>
      <c r="L187" s="71"/>
      <c r="N187" t="str">
        <f>IFERROR(IF(VLOOKUP(Tb_Activiteiten[[#This Row],[Openstelling]],Tb_Openstelling[],2,0)=1,1,""),"")</f>
        <v/>
      </c>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25">
      <c r="A188" s="337"/>
      <c r="F188" s="79"/>
      <c r="G188" s="79"/>
      <c r="L188" s="71"/>
      <c r="N188" t="str">
        <f>IFERROR(IF(VLOOKUP(Tb_Activiteiten[[#This Row],[Openstelling]],Tb_Openstelling[],2,0)=1,1,""),"")</f>
        <v/>
      </c>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25">
      <c r="A189" s="337"/>
      <c r="F189" s="79"/>
      <c r="G189" s="79"/>
      <c r="L189" s="71"/>
      <c r="N189" t="str">
        <f>IFERROR(IF(VLOOKUP(Tb_Activiteiten[[#This Row],[Openstelling]],Tb_Openstelling[],2,0)=1,1,""),"")</f>
        <v/>
      </c>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25">
      <c r="A190" s="337"/>
      <c r="F190" s="79"/>
      <c r="G190" s="79"/>
      <c r="L190" s="71"/>
      <c r="N190" t="str">
        <f>IFERROR(IF(VLOOKUP(Tb_Activiteiten[[#This Row],[Openstelling]],Tb_Openstelling[],2,0)=1,1,""),"")</f>
        <v/>
      </c>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25">
      <c r="A191" s="337"/>
      <c r="F191" s="79"/>
      <c r="G191" s="79"/>
      <c r="L191" s="71"/>
      <c r="N191" t="str">
        <f>IFERROR(IF(VLOOKUP(Tb_Activiteiten[[#This Row],[Openstelling]],Tb_Openstelling[],2,0)=1,1,""),"")</f>
        <v/>
      </c>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25">
      <c r="A192" s="337"/>
      <c r="F192" s="79"/>
      <c r="G192" s="79"/>
      <c r="L192" s="71"/>
      <c r="N192" t="str">
        <f>IFERROR(IF(VLOOKUP(Tb_Activiteiten[[#This Row],[Openstelling]],Tb_Openstelling[],2,0)=1,1,""),"")</f>
        <v/>
      </c>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25">
      <c r="A193" s="337"/>
      <c r="F193" s="79"/>
      <c r="G193" s="79"/>
      <c r="L193" s="71"/>
      <c r="N193" t="str">
        <f>IFERROR(IF(VLOOKUP(Tb_Activiteiten[[#This Row],[Openstelling]],Tb_Openstelling[],2,0)=1,1,""),"")</f>
        <v/>
      </c>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25">
      <c r="A194" s="337"/>
      <c r="F194" s="79"/>
      <c r="G194" s="79"/>
      <c r="L194" s="71"/>
      <c r="N194" t="str">
        <f>IFERROR(IF(VLOOKUP(Tb_Activiteiten[[#This Row],[Openstelling]],Tb_Openstelling[],2,0)=1,1,""),"")</f>
        <v/>
      </c>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25">
      <c r="A195" s="337"/>
      <c r="F195" s="79"/>
      <c r="G195" s="79"/>
      <c r="L195" s="71"/>
      <c r="N195" t="str">
        <f>IFERROR(IF(VLOOKUP(Tb_Activiteiten[[#This Row],[Openstelling]],Tb_Openstelling[],2,0)=1,1,""),"")</f>
        <v/>
      </c>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25">
      <c r="A196" s="337"/>
      <c r="F196" s="79"/>
      <c r="G196" s="79"/>
      <c r="L196" s="71"/>
      <c r="N196" t="str">
        <f>IFERROR(IF(VLOOKUP(Tb_Activiteiten[[#This Row],[Openstelling]],Tb_Openstelling[],2,0)=1,1,""),"")</f>
        <v/>
      </c>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25">
      <c r="A197" s="337"/>
      <c r="F197" s="79"/>
      <c r="G197" s="79"/>
      <c r="L197" s="71"/>
      <c r="N197" t="str">
        <f>IFERROR(IF(VLOOKUP(Tb_Activiteiten[[#This Row],[Openstelling]],Tb_Openstelling[],2,0)=1,1,""),"")</f>
        <v/>
      </c>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25">
      <c r="A198" s="337"/>
      <c r="F198" s="79"/>
      <c r="G198" s="79"/>
      <c r="L198" s="71"/>
      <c r="N198" t="str">
        <f>IFERROR(IF(VLOOKUP(Tb_Activiteiten[[#This Row],[Openstelling]],Tb_Openstelling[],2,0)=1,1,""),"")</f>
        <v/>
      </c>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25">
      <c r="A199" s="337"/>
      <c r="F199" s="79"/>
      <c r="G199" s="79"/>
      <c r="L199" s="71"/>
      <c r="N199" t="str">
        <f>IFERROR(IF(VLOOKUP(Tb_Activiteiten[[#This Row],[Openstelling]],Tb_Openstelling[],2,0)=1,1,""),"")</f>
        <v/>
      </c>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25">
      <c r="A200" s="337"/>
      <c r="F200" s="79"/>
      <c r="G200" s="79"/>
      <c r="L200" s="71"/>
      <c r="N200" t="str">
        <f>IFERROR(IF(VLOOKUP(Tb_Activiteiten[[#This Row],[Openstelling]],Tb_Openstelling[],2,0)=1,1,""),"")</f>
        <v/>
      </c>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25">
      <c r="A201" s="337"/>
      <c r="F201" s="79"/>
      <c r="G201" s="79"/>
      <c r="L201" s="71"/>
      <c r="N201" t="str">
        <f>IFERROR(IF(VLOOKUP(Tb_Activiteiten[[#This Row],[Openstelling]],Tb_Openstelling[],2,0)=1,1,""),"")</f>
        <v/>
      </c>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25">
      <c r="A202" s="337"/>
      <c r="F202" s="79"/>
      <c r="G202" s="79"/>
      <c r="L202" s="71"/>
      <c r="N202" t="str">
        <f>IFERROR(IF(VLOOKUP(Tb_Activiteiten[[#This Row],[Openstelling]],Tb_Openstelling[],2,0)=1,1,""),"")</f>
        <v/>
      </c>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25">
      <c r="A203" s="337"/>
      <c r="F203" s="79"/>
      <c r="G203" s="79"/>
      <c r="L203" s="71"/>
      <c r="N203" t="str">
        <f>IFERROR(IF(VLOOKUP(Tb_Activiteiten[[#This Row],[Openstelling]],Tb_Openstelling[],2,0)=1,1,""),"")</f>
        <v/>
      </c>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25">
      <c r="A204" s="337"/>
      <c r="F204" s="79"/>
      <c r="G204" s="79"/>
      <c r="L204" s="71"/>
      <c r="N204" t="str">
        <f>IFERROR(IF(VLOOKUP(Tb_Activiteiten[[#This Row],[Openstelling]],Tb_Openstelling[],2,0)=1,1,""),"")</f>
        <v/>
      </c>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25">
      <c r="A205" s="337"/>
      <c r="F205" s="79"/>
      <c r="G205" s="79"/>
      <c r="L205" s="71"/>
      <c r="N205" t="str">
        <f>IFERROR(IF(VLOOKUP(Tb_Activiteiten[[#This Row],[Openstelling]],Tb_Openstelling[],2,0)=1,1,""),"")</f>
        <v/>
      </c>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25">
      <c r="A206" s="337"/>
      <c r="F206" s="79"/>
      <c r="G206" s="79"/>
      <c r="L206" s="71"/>
      <c r="N206" t="str">
        <f>IFERROR(IF(VLOOKUP(Tb_Activiteiten[[#This Row],[Openstelling]],Tb_Openstelling[],2,0)=1,1,""),"")</f>
        <v/>
      </c>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25">
      <c r="A207" s="337"/>
      <c r="F207" s="79"/>
      <c r="G207" s="79"/>
      <c r="L207" s="71"/>
      <c r="N207" t="str">
        <f>IFERROR(IF(VLOOKUP(Tb_Activiteiten[[#This Row],[Openstelling]],Tb_Openstelling[],2,0)=1,1,""),"")</f>
        <v/>
      </c>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25">
      <c r="A208" s="337"/>
      <c r="F208" s="79"/>
      <c r="G208" s="79"/>
      <c r="L208" s="71"/>
      <c r="N208" t="str">
        <f>IFERROR(IF(VLOOKUP(Tb_Activiteiten[[#This Row],[Openstelling]],Tb_Openstelling[],2,0)=1,1,""),"")</f>
        <v/>
      </c>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25">
      <c r="A209" s="337"/>
      <c r="F209" s="79"/>
      <c r="G209" s="79"/>
      <c r="L209" s="71"/>
      <c r="N209" t="str">
        <f>IFERROR(IF(VLOOKUP(Tb_Activiteiten[[#This Row],[Openstelling]],Tb_Openstelling[],2,0)=1,1,""),"")</f>
        <v/>
      </c>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25">
      <c r="A210" s="337"/>
      <c r="F210" s="79"/>
      <c r="G210" s="79"/>
      <c r="L210" s="71"/>
      <c r="N210" t="str">
        <f>IFERROR(IF(VLOOKUP(Tb_Activiteiten[[#This Row],[Openstelling]],Tb_Openstelling[],2,0)=1,1,""),"")</f>
        <v/>
      </c>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25">
      <c r="A211" s="337"/>
      <c r="F211" s="79"/>
      <c r="G211" s="79"/>
      <c r="L211" s="71"/>
      <c r="N211" t="str">
        <f>IFERROR(IF(VLOOKUP(Tb_Activiteiten[[#This Row],[Openstelling]],Tb_Openstelling[],2,0)=1,1,""),"")</f>
        <v/>
      </c>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25">
      <c r="A212" s="337"/>
      <c r="F212" s="79"/>
      <c r="G212" s="79"/>
      <c r="L212" s="71"/>
      <c r="N212" t="str">
        <f>IFERROR(IF(VLOOKUP(Tb_Activiteiten[[#This Row],[Openstelling]],Tb_Openstelling[],2,0)=1,1,""),"")</f>
        <v/>
      </c>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25">
      <c r="A213" s="337"/>
      <c r="F213" s="79"/>
      <c r="G213" s="79"/>
      <c r="L213" s="71"/>
      <c r="N213" t="str">
        <f>IFERROR(IF(VLOOKUP(Tb_Activiteiten[[#This Row],[Openstelling]],Tb_Openstelling[],2,0)=1,1,""),"")</f>
        <v/>
      </c>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25">
      <c r="A214" s="337"/>
      <c r="F214" s="79"/>
      <c r="G214" s="79"/>
      <c r="L214" s="71"/>
      <c r="N214" t="str">
        <f>IFERROR(IF(VLOOKUP(Tb_Activiteiten[[#This Row],[Openstelling]],Tb_Openstelling[],2,0)=1,1,""),"")</f>
        <v/>
      </c>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25">
      <c r="A215" s="337"/>
      <c r="F215" s="79"/>
      <c r="G215" s="79"/>
      <c r="L215" s="71"/>
      <c r="N215" t="str">
        <f>IFERROR(IF(VLOOKUP(Tb_Activiteiten[[#This Row],[Openstelling]],Tb_Openstelling[],2,0)=1,1,""),"")</f>
        <v/>
      </c>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25">
      <c r="A216" s="337"/>
      <c r="F216" s="79"/>
      <c r="G216" s="79"/>
      <c r="L216" s="71"/>
      <c r="N216" t="str">
        <f>IFERROR(IF(VLOOKUP(Tb_Activiteiten[[#This Row],[Openstelling]],Tb_Openstelling[],2,0)=1,1,""),"")</f>
        <v/>
      </c>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25">
      <c r="A217" s="337"/>
      <c r="F217" s="79"/>
      <c r="G217" s="79"/>
      <c r="L217" s="71"/>
      <c r="N217" t="str">
        <f>IFERROR(IF(VLOOKUP(Tb_Activiteiten[[#This Row],[Openstelling]],Tb_Openstelling[],2,0)=1,1,""),"")</f>
        <v/>
      </c>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25">
      <c r="A218" s="337"/>
      <c r="F218" s="79"/>
      <c r="G218" s="79"/>
      <c r="L218" s="71"/>
      <c r="N218" t="str">
        <f>IFERROR(IF(VLOOKUP(Tb_Activiteiten[[#This Row],[Openstelling]],Tb_Openstelling[],2,0)=1,1,""),"")</f>
        <v/>
      </c>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25">
      <c r="A219" s="337"/>
      <c r="F219" s="79"/>
      <c r="G219" s="79"/>
      <c r="L219" s="71"/>
      <c r="N219" t="str">
        <f>IFERROR(IF(VLOOKUP(Tb_Activiteiten[[#This Row],[Openstelling]],Tb_Openstelling[],2,0)=1,1,""),"")</f>
        <v/>
      </c>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25">
      <c r="A220" s="337"/>
      <c r="F220" s="79"/>
      <c r="G220" s="79"/>
      <c r="L220" s="71"/>
      <c r="N220" t="str">
        <f>IFERROR(IF(VLOOKUP(Tb_Activiteiten[[#This Row],[Openstelling]],Tb_Openstelling[],2,0)=1,1,""),"")</f>
        <v/>
      </c>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25">
      <c r="A221" s="337"/>
      <c r="F221" s="79"/>
      <c r="G221" s="79"/>
      <c r="L221" s="71"/>
      <c r="N221" t="str">
        <f>IFERROR(IF(VLOOKUP(Tb_Activiteiten[[#This Row],[Openstelling]],Tb_Openstelling[],2,0)=1,1,""),"")</f>
        <v/>
      </c>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25">
      <c r="A222" s="337"/>
      <c r="F222" s="79"/>
      <c r="G222" s="79"/>
      <c r="L222" s="71"/>
      <c r="N222" t="str">
        <f>IFERROR(IF(VLOOKUP(Tb_Activiteiten[[#This Row],[Openstelling]],Tb_Openstelling[],2,0)=1,1,""),"")</f>
        <v/>
      </c>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25">
      <c r="A223" s="337"/>
      <c r="F223" s="79"/>
      <c r="G223" s="79"/>
      <c r="L223" s="71"/>
      <c r="N223" t="str">
        <f>IFERROR(IF(VLOOKUP(Tb_Activiteiten[[#This Row],[Openstelling]],Tb_Openstelling[],2,0)=1,1,""),"")</f>
        <v/>
      </c>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25">
      <c r="A224" s="337"/>
      <c r="F224" s="79"/>
      <c r="G224" s="79"/>
      <c r="L224" s="71"/>
      <c r="N224" t="str">
        <f>IFERROR(IF(VLOOKUP(Tb_Activiteiten[[#This Row],[Openstelling]],Tb_Openstelling[],2,0)=1,1,""),"")</f>
        <v/>
      </c>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25">
      <c r="A225" s="337"/>
      <c r="F225" s="79"/>
      <c r="G225" s="79"/>
      <c r="L225" s="71"/>
      <c r="N225" t="str">
        <f>IFERROR(IF(VLOOKUP(Tb_Activiteiten[[#This Row],[Openstelling]],Tb_Openstelling[],2,0)=1,1,""),"")</f>
        <v/>
      </c>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25">
      <c r="A226" s="337"/>
      <c r="F226" s="79"/>
      <c r="G226" s="79"/>
      <c r="L226" s="71"/>
      <c r="N226" t="str">
        <f>IFERROR(IF(VLOOKUP(Tb_Activiteiten[[#This Row],[Openstelling]],Tb_Openstelling[],2,0)=1,1,""),"")</f>
        <v/>
      </c>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25">
      <c r="A227" s="337"/>
      <c r="F227" s="79"/>
      <c r="G227" s="79"/>
      <c r="L227" s="71"/>
      <c r="N227" t="str">
        <f>IFERROR(IF(VLOOKUP(Tb_Activiteiten[[#This Row],[Openstelling]],Tb_Openstelling[],2,0)=1,1,""),"")</f>
        <v/>
      </c>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25">
      <c r="A228" s="337"/>
      <c r="F228" s="79"/>
      <c r="G228" s="79"/>
      <c r="L228" s="71"/>
      <c r="N228" t="str">
        <f>IFERROR(IF(VLOOKUP(Tb_Activiteiten[[#This Row],[Openstelling]],Tb_Openstelling[],2,0)=1,1,""),"")</f>
        <v/>
      </c>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25">
      <c r="A229" s="337"/>
      <c r="F229" s="79"/>
      <c r="G229" s="79"/>
      <c r="L229" s="71"/>
      <c r="N229" t="str">
        <f>IFERROR(IF(VLOOKUP(Tb_Activiteiten[[#This Row],[Openstelling]],Tb_Openstelling[],2,0)=1,1,""),"")</f>
        <v/>
      </c>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25">
      <c r="A230" s="337"/>
      <c r="F230" s="79"/>
      <c r="G230" s="79"/>
      <c r="L230" s="71"/>
      <c r="N230" t="str">
        <f>IFERROR(IF(VLOOKUP(Tb_Activiteiten[[#This Row],[Openstelling]],Tb_Openstelling[],2,0)=1,1,""),"")</f>
        <v/>
      </c>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25">
      <c r="A231" s="337"/>
      <c r="F231" s="79"/>
      <c r="G231" s="79"/>
      <c r="L231" s="71"/>
      <c r="N231" t="str">
        <f>IFERROR(IF(VLOOKUP(Tb_Activiteiten[[#This Row],[Openstelling]],Tb_Openstelling[],2,0)=1,1,""),"")</f>
        <v/>
      </c>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25">
      <c r="A232" s="337"/>
      <c r="F232" s="79"/>
      <c r="G232" s="79"/>
      <c r="L232" s="71"/>
      <c r="N232" t="str">
        <f>IFERROR(IF(VLOOKUP(Tb_Activiteiten[[#This Row],[Openstelling]],Tb_Openstelling[],2,0)=1,1,""),"")</f>
        <v/>
      </c>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25">
      <c r="A233" s="337"/>
      <c r="F233" s="79"/>
      <c r="G233" s="79"/>
      <c r="L233" s="71"/>
      <c r="N233" t="str">
        <f>IFERROR(IF(VLOOKUP(Tb_Activiteiten[[#This Row],[Openstelling]],Tb_Openstelling[],2,0)=1,1,""),"")</f>
        <v/>
      </c>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25">
      <c r="A234" s="337"/>
      <c r="F234" s="79"/>
      <c r="G234" s="79"/>
      <c r="L234" s="71"/>
      <c r="N234" t="str">
        <f>IFERROR(IF(VLOOKUP(Tb_Activiteiten[[#This Row],[Openstelling]],Tb_Openstelling[],2,0)=1,1,""),"")</f>
        <v/>
      </c>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25">
      <c r="A235" s="337"/>
      <c r="F235" s="79"/>
      <c r="G235" s="79"/>
      <c r="L235" s="71"/>
      <c r="N235" t="str">
        <f>IFERROR(IF(VLOOKUP(Tb_Activiteiten[[#This Row],[Openstelling]],Tb_Openstelling[],2,0)=1,1,""),"")</f>
        <v/>
      </c>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25">
      <c r="A236" s="337"/>
      <c r="F236" s="79"/>
      <c r="G236" s="79"/>
      <c r="L236" s="71"/>
      <c r="N236" t="str">
        <f>IFERROR(IF(VLOOKUP(Tb_Activiteiten[[#This Row],[Openstelling]],Tb_Openstelling[],2,0)=1,1,""),"")</f>
        <v/>
      </c>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25">
      <c r="A237" s="337"/>
      <c r="F237" s="79"/>
      <c r="G237" s="79"/>
      <c r="L237" s="71"/>
      <c r="N237" t="str">
        <f>IFERROR(IF(VLOOKUP(Tb_Activiteiten[[#This Row],[Openstelling]],Tb_Openstelling[],2,0)=1,1,""),"")</f>
        <v/>
      </c>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25">
      <c r="A238" s="337"/>
      <c r="F238" s="79"/>
      <c r="G238" s="79"/>
      <c r="L238" s="71"/>
      <c r="N238" t="str">
        <f>IFERROR(IF(VLOOKUP(Tb_Activiteiten[[#This Row],[Openstelling]],Tb_Openstelling[],2,0)=1,1,""),"")</f>
        <v/>
      </c>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25">
      <c r="A239" s="337"/>
      <c r="F239" s="79"/>
      <c r="G239" s="79"/>
      <c r="L239" s="71"/>
      <c r="N239" t="str">
        <f>IFERROR(IF(VLOOKUP(Tb_Activiteiten[[#This Row],[Openstelling]],Tb_Openstelling[],2,0)=1,1,""),"")</f>
        <v/>
      </c>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25">
      <c r="A240" s="337"/>
      <c r="F240" s="79"/>
      <c r="G240" s="79"/>
      <c r="L240" s="71"/>
      <c r="N240" t="str">
        <f>IFERROR(IF(VLOOKUP(Tb_Activiteiten[[#This Row],[Openstelling]],Tb_Openstelling[],2,0)=1,1,""),"")</f>
        <v/>
      </c>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25">
      <c r="A241" s="337"/>
      <c r="F241" s="79"/>
      <c r="G241" s="79"/>
      <c r="L241" s="71"/>
      <c r="N241" t="str">
        <f>IFERROR(IF(VLOOKUP(Tb_Activiteiten[[#This Row],[Openstelling]],Tb_Openstelling[],2,0)=1,1,""),"")</f>
        <v/>
      </c>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25">
      <c r="A242" s="337"/>
      <c r="F242" s="79"/>
      <c r="G242" s="79"/>
      <c r="L242" s="71"/>
      <c r="N242" t="str">
        <f>IFERROR(IF(VLOOKUP(Tb_Activiteiten[[#This Row],[Openstelling]],Tb_Openstelling[],2,0)=1,1,""),"")</f>
        <v/>
      </c>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25">
      <c r="A243" s="337"/>
      <c r="F243" s="79"/>
      <c r="G243" s="79"/>
      <c r="L243" s="71"/>
      <c r="N243" t="str">
        <f>IFERROR(IF(VLOOKUP(Tb_Activiteiten[[#This Row],[Openstelling]],Tb_Openstelling[],2,0)=1,1,""),"")</f>
        <v/>
      </c>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25">
      <c r="A244" s="337"/>
      <c r="F244" s="79"/>
      <c r="G244" s="79"/>
      <c r="L244" s="71"/>
      <c r="N244" t="str">
        <f>IFERROR(IF(VLOOKUP(Tb_Activiteiten[[#This Row],[Openstelling]],Tb_Openstelling[],2,0)=1,1,""),"")</f>
        <v/>
      </c>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25">
      <c r="A245" s="337"/>
      <c r="F245" s="79"/>
      <c r="G245" s="79"/>
      <c r="L245" s="71"/>
      <c r="N245" t="str">
        <f>IFERROR(IF(VLOOKUP(Tb_Activiteiten[[#This Row],[Openstelling]],Tb_Openstelling[],2,0)=1,1,""),"")</f>
        <v/>
      </c>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25">
      <c r="A246" s="337"/>
      <c r="F246" s="79"/>
      <c r="G246" s="79"/>
      <c r="L246" s="71"/>
      <c r="N246" t="str">
        <f>IFERROR(IF(VLOOKUP(Tb_Activiteiten[[#This Row],[Openstelling]],Tb_Openstelling[],2,0)=1,1,""),"")</f>
        <v/>
      </c>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25">
      <c r="A247" s="337"/>
      <c r="F247" s="79"/>
      <c r="G247" s="79"/>
      <c r="L247" s="71"/>
      <c r="N247" t="str">
        <f>IFERROR(IF(VLOOKUP(Tb_Activiteiten[[#This Row],[Openstelling]],Tb_Openstelling[],2,0)=1,1,""),"")</f>
        <v/>
      </c>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25">
      <c r="A248" s="337"/>
      <c r="F248" s="79"/>
      <c r="G248" s="79"/>
      <c r="L248" s="71"/>
      <c r="N248" t="str">
        <f>IFERROR(IF(VLOOKUP(Tb_Activiteiten[[#This Row],[Openstelling]],Tb_Openstelling[],2,0)=1,1,""),"")</f>
        <v/>
      </c>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25">
      <c r="A249" s="337"/>
      <c r="F249" s="79"/>
      <c r="G249" s="79"/>
      <c r="L249" s="71"/>
      <c r="N249" t="str">
        <f>IFERROR(IF(VLOOKUP(Tb_Activiteiten[[#This Row],[Openstelling]],Tb_Openstelling[],2,0)=1,1,""),"")</f>
        <v/>
      </c>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25">
      <c r="A250" s="337"/>
      <c r="F250" s="79"/>
      <c r="G250" s="79"/>
      <c r="L250" s="71"/>
      <c r="N250" t="str">
        <f>IFERROR(IF(VLOOKUP(Tb_Activiteiten[[#This Row],[Openstelling]],Tb_Openstelling[],2,0)=1,1,""),"")</f>
        <v/>
      </c>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25">
      <c r="A251" s="337"/>
      <c r="F251" s="79"/>
      <c r="G251" s="79"/>
      <c r="L251" s="71"/>
      <c r="N251" t="str">
        <f>IFERROR(IF(VLOOKUP(Tb_Activiteiten[[#This Row],[Openstelling]],Tb_Openstelling[],2,0)=1,1,""),"")</f>
        <v/>
      </c>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25">
      <c r="A252" s="337"/>
      <c r="F252" s="79"/>
      <c r="G252" s="79"/>
      <c r="L252" s="71"/>
      <c r="N252" t="str">
        <f>IFERROR(IF(VLOOKUP(Tb_Activiteiten[[#This Row],[Openstelling]],Tb_Openstelling[],2,0)=1,1,""),"")</f>
        <v/>
      </c>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25">
      <c r="A253" s="337"/>
      <c r="F253" s="79"/>
      <c r="G253" s="79"/>
      <c r="L253" s="71"/>
      <c r="N253" t="str">
        <f>IFERROR(IF(VLOOKUP(Tb_Activiteiten[[#This Row],[Openstelling]],Tb_Openstelling[],2,0)=1,1,""),"")</f>
        <v/>
      </c>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25">
      <c r="A254" s="337"/>
      <c r="F254" s="79"/>
      <c r="G254" s="79"/>
      <c r="L254" s="71"/>
      <c r="N254" t="str">
        <f>IFERROR(IF(VLOOKUP(Tb_Activiteiten[[#This Row],[Openstelling]],Tb_Openstelling[],2,0)=1,1,""),"")</f>
        <v/>
      </c>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25">
      <c r="A255" s="337"/>
      <c r="F255" s="79"/>
      <c r="G255" s="79"/>
      <c r="L255" s="71"/>
      <c r="N255" t="str">
        <f>IFERROR(IF(VLOOKUP(Tb_Activiteiten[[#This Row],[Openstelling]],Tb_Openstelling[],2,0)=1,1,""),"")</f>
        <v/>
      </c>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25">
      <c r="A256" s="337"/>
      <c r="F256" s="79"/>
      <c r="G256" s="79"/>
      <c r="L256" s="71"/>
      <c r="N256" t="str">
        <f>IFERROR(IF(VLOOKUP(Tb_Activiteiten[[#This Row],[Openstelling]],Tb_Openstelling[],2,0)=1,1,""),"")</f>
        <v/>
      </c>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25">
      <c r="A257" s="337"/>
      <c r="F257" s="79"/>
      <c r="G257" s="79"/>
      <c r="L257" s="71"/>
      <c r="N257" t="str">
        <f>IFERROR(IF(VLOOKUP(Tb_Activiteiten[[#This Row],[Openstelling]],Tb_Openstelling[],2,0)=1,1,""),"")</f>
        <v/>
      </c>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25">
      <c r="A258" s="337"/>
      <c r="F258" s="79"/>
      <c r="G258" s="79"/>
      <c r="L258" s="71"/>
      <c r="N258" t="str">
        <f>IFERROR(IF(VLOOKUP(Tb_Activiteiten[[#This Row],[Openstelling]],Tb_Openstelling[],2,0)=1,1,""),"")</f>
        <v/>
      </c>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25">
      <c r="A259" s="337"/>
      <c r="F259" s="79"/>
      <c r="G259" s="79"/>
      <c r="L259" s="71"/>
      <c r="N259" t="str">
        <f>IFERROR(IF(VLOOKUP(Tb_Activiteiten[[#This Row],[Openstelling]],Tb_Openstelling[],2,0)=1,1,""),"")</f>
        <v/>
      </c>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25">
      <c r="A260" s="337"/>
      <c r="F260" s="79"/>
      <c r="G260" s="79"/>
      <c r="L260" s="71"/>
      <c r="N260" t="str">
        <f>IFERROR(IF(VLOOKUP(Tb_Activiteiten[[#This Row],[Openstelling]],Tb_Openstelling[],2,0)=1,1,""),"")</f>
        <v/>
      </c>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25">
      <c r="A261" s="337"/>
      <c r="F261" s="79"/>
      <c r="G261" s="79"/>
      <c r="L261" s="71"/>
      <c r="N261" t="str">
        <f>IFERROR(IF(VLOOKUP(Tb_Activiteiten[[#This Row],[Openstelling]],Tb_Openstelling[],2,0)=1,1,""),"")</f>
        <v/>
      </c>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25">
      <c r="A262" s="337"/>
      <c r="F262" s="79"/>
      <c r="G262" s="79"/>
      <c r="L262" s="71"/>
      <c r="N262" t="str">
        <f>IFERROR(IF(VLOOKUP(Tb_Activiteiten[[#This Row],[Openstelling]],Tb_Openstelling[],2,0)=1,1,""),"")</f>
        <v/>
      </c>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25">
      <c r="A263" s="337"/>
      <c r="F263" s="79"/>
      <c r="G263" s="79"/>
      <c r="L263" s="71"/>
      <c r="N263" t="str">
        <f>IFERROR(IF(VLOOKUP(Tb_Activiteiten[[#This Row],[Openstelling]],Tb_Openstelling[],2,0)=1,1,""),"")</f>
        <v/>
      </c>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25">
      <c r="A264" s="337"/>
      <c r="F264" s="79"/>
      <c r="G264" s="79"/>
      <c r="L264" s="71"/>
      <c r="N264" t="str">
        <f>IFERROR(IF(VLOOKUP(Tb_Activiteiten[[#This Row],[Openstelling]],Tb_Openstelling[],2,0)=1,1,""),"")</f>
        <v/>
      </c>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25">
      <c r="A265" s="337"/>
      <c r="F265" s="79"/>
      <c r="G265" s="79"/>
      <c r="L265" s="71"/>
      <c r="N265" t="str">
        <f>IFERROR(IF(VLOOKUP(Tb_Activiteiten[[#This Row],[Openstelling]],Tb_Openstelling[],2,0)=1,1,""),"")</f>
        <v/>
      </c>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25">
      <c r="A266" s="337"/>
      <c r="F266" s="79"/>
      <c r="G266" s="79"/>
      <c r="L266" s="71"/>
      <c r="N266" t="str">
        <f>IFERROR(IF(VLOOKUP(Tb_Activiteiten[[#This Row],[Openstelling]],Tb_Openstelling[],2,0)=1,1,""),"")</f>
        <v/>
      </c>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25">
      <c r="A267" s="337"/>
      <c r="F267" s="79"/>
      <c r="G267" s="79"/>
      <c r="L267" s="71"/>
      <c r="N267" t="str">
        <f>IFERROR(IF(VLOOKUP(Tb_Activiteiten[[#This Row],[Openstelling]],Tb_Openstelling[],2,0)=1,1,""),"")</f>
        <v/>
      </c>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25">
      <c r="A268" s="337"/>
      <c r="F268" s="79"/>
      <c r="G268" s="79"/>
      <c r="L268" s="71"/>
      <c r="N268" t="str">
        <f>IFERROR(IF(VLOOKUP(Tb_Activiteiten[[#This Row],[Openstelling]],Tb_Openstelling[],2,0)=1,1,""),"")</f>
        <v/>
      </c>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25">
      <c r="A269" s="337"/>
      <c r="F269" s="79"/>
      <c r="G269" s="79"/>
      <c r="L269" s="71"/>
      <c r="N269" t="str">
        <f>IFERROR(IF(VLOOKUP(Tb_Activiteiten[[#This Row],[Openstelling]],Tb_Openstelling[],2,0)=1,1,""),"")</f>
        <v/>
      </c>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25">
      <c r="A270" s="337"/>
      <c r="F270" s="79"/>
      <c r="G270" s="79"/>
      <c r="L270" s="71"/>
      <c r="N270" t="str">
        <f>IFERROR(IF(VLOOKUP(Tb_Activiteiten[[#This Row],[Openstelling]],Tb_Openstelling[],2,0)=1,1,""),"")</f>
        <v/>
      </c>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25">
      <c r="A271" s="337"/>
      <c r="F271" s="79"/>
      <c r="G271" s="79"/>
      <c r="L271" s="71"/>
      <c r="N271" t="str">
        <f>IFERROR(IF(VLOOKUP(Tb_Activiteiten[[#This Row],[Openstelling]],Tb_Openstelling[],2,0)=1,1,""),"")</f>
        <v/>
      </c>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25">
      <c r="A272" s="337"/>
      <c r="F272" s="79"/>
      <c r="G272" s="79"/>
      <c r="L272" s="71"/>
      <c r="N272" t="str">
        <f>IFERROR(IF(VLOOKUP(Tb_Activiteiten[[#This Row],[Openstelling]],Tb_Openstelling[],2,0)=1,1,""),"")</f>
        <v/>
      </c>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25">
      <c r="A273" s="337"/>
      <c r="F273" s="79"/>
      <c r="G273" s="79"/>
      <c r="L273" s="71"/>
      <c r="N273" t="str">
        <f>IFERROR(IF(VLOOKUP(Tb_Activiteiten[[#This Row],[Openstelling]],Tb_Openstelling[],2,0)=1,1,""),"")</f>
        <v/>
      </c>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25">
      <c r="A274" s="337"/>
      <c r="F274" s="79"/>
      <c r="G274" s="79"/>
      <c r="L274" s="71"/>
      <c r="N274" t="str">
        <f>IFERROR(IF(VLOOKUP(Tb_Activiteiten[[#This Row],[Openstelling]],Tb_Openstelling[],2,0)=1,1,""),"")</f>
        <v/>
      </c>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25">
      <c r="A275" s="337"/>
      <c r="F275" s="79"/>
      <c r="G275" s="79"/>
      <c r="L275" s="71"/>
      <c r="N275" t="str">
        <f>IFERROR(IF(VLOOKUP(Tb_Activiteiten[[#This Row],[Openstelling]],Tb_Openstelling[],2,0)=1,1,""),"")</f>
        <v/>
      </c>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25">
      <c r="A276" s="337"/>
      <c r="F276" s="79"/>
      <c r="G276" s="79"/>
      <c r="L276" s="71"/>
      <c r="N276" t="str">
        <f>IFERROR(IF(VLOOKUP(Tb_Activiteiten[[#This Row],[Openstelling]],Tb_Openstelling[],2,0)=1,1,""),"")</f>
        <v/>
      </c>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25">
      <c r="A277" s="337"/>
      <c r="F277" s="79"/>
      <c r="G277" s="79"/>
      <c r="L277" s="71"/>
      <c r="N277" t="str">
        <f>IFERROR(IF(VLOOKUP(Tb_Activiteiten[[#This Row],[Openstelling]],Tb_Openstelling[],2,0)=1,1,""),"")</f>
        <v/>
      </c>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25">
      <c r="A278" s="337"/>
      <c r="F278" s="79"/>
      <c r="G278" s="79"/>
      <c r="L278" s="71"/>
      <c r="N278" t="str">
        <f>IFERROR(IF(VLOOKUP(Tb_Activiteiten[[#This Row],[Openstelling]],Tb_Openstelling[],2,0)=1,1,""),"")</f>
        <v/>
      </c>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25">
      <c r="A279" s="337"/>
      <c r="F279" s="79"/>
      <c r="G279" s="79"/>
      <c r="L279" s="71"/>
      <c r="N279" t="str">
        <f>IFERROR(IF(VLOOKUP(Tb_Activiteiten[[#This Row],[Openstelling]],Tb_Openstelling[],2,0)=1,1,""),"")</f>
        <v/>
      </c>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25">
      <c r="A280" s="337"/>
      <c r="F280" s="79"/>
      <c r="G280" s="79"/>
      <c r="L280" s="71"/>
      <c r="N280" t="str">
        <f>IFERROR(IF(VLOOKUP(Tb_Activiteiten[[#This Row],[Openstelling]],Tb_Openstelling[],2,0)=1,1,""),"")</f>
        <v/>
      </c>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25">
      <c r="A281" s="337"/>
      <c r="F281" s="79"/>
      <c r="G281" s="79"/>
      <c r="L281" s="71"/>
      <c r="N281" t="str">
        <f>IFERROR(IF(VLOOKUP(Tb_Activiteiten[[#This Row],[Openstelling]],Tb_Openstelling[],2,0)=1,1,""),"")</f>
        <v/>
      </c>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25">
      <c r="A282" s="337"/>
      <c r="F282" s="79"/>
      <c r="G282" s="79"/>
      <c r="L282" s="71"/>
      <c r="N282" t="str">
        <f>IFERROR(IF(VLOOKUP(Tb_Activiteiten[[#This Row],[Openstelling]],Tb_Openstelling[],2,0)=1,1,""),"")</f>
        <v/>
      </c>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25">
      <c r="A283" s="337"/>
      <c r="F283" s="79"/>
      <c r="G283" s="79"/>
      <c r="L283" s="71"/>
      <c r="N283" t="str">
        <f>IFERROR(IF(VLOOKUP(Tb_Activiteiten[[#This Row],[Openstelling]],Tb_Openstelling[],2,0)=1,1,""),"")</f>
        <v/>
      </c>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25">
      <c r="A284" s="337"/>
      <c r="F284" s="79"/>
      <c r="G284" s="79"/>
      <c r="L284" s="71"/>
      <c r="N284" t="str">
        <f>IFERROR(IF(VLOOKUP(Tb_Activiteiten[[#This Row],[Openstelling]],Tb_Openstelling[],2,0)=1,1,""),"")</f>
        <v/>
      </c>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25">
      <c r="A285" s="337"/>
      <c r="F285" s="79"/>
      <c r="G285" s="79"/>
      <c r="L285" s="71"/>
      <c r="N285" t="str">
        <f>IFERROR(IF(VLOOKUP(Tb_Activiteiten[[#This Row],[Openstelling]],Tb_Openstelling[],2,0)=1,1,""),"")</f>
        <v/>
      </c>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25">
      <c r="A286" s="337"/>
      <c r="F286" s="79"/>
      <c r="G286" s="79"/>
      <c r="L286" s="71"/>
      <c r="N286" t="str">
        <f>IFERROR(IF(VLOOKUP(Tb_Activiteiten[[#This Row],[Openstelling]],Tb_Openstelling[],2,0)=1,1,""),"")</f>
        <v/>
      </c>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25">
      <c r="A287" s="337"/>
      <c r="F287" s="79"/>
      <c r="G287" s="79"/>
      <c r="L287" s="71"/>
      <c r="N287" t="str">
        <f>IFERROR(IF(VLOOKUP(Tb_Activiteiten[[#This Row],[Openstelling]],Tb_Openstelling[],2,0)=1,1,""),"")</f>
        <v/>
      </c>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25">
      <c r="A288" s="337"/>
      <c r="F288" s="79"/>
      <c r="G288" s="79"/>
      <c r="L288" s="71"/>
      <c r="N288" t="str">
        <f>IFERROR(IF(VLOOKUP(Tb_Activiteiten[[#This Row],[Openstelling]],Tb_Openstelling[],2,0)=1,1,""),"")</f>
        <v/>
      </c>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25">
      <c r="A289" s="337"/>
      <c r="F289" s="79"/>
      <c r="G289" s="79"/>
      <c r="L289" s="71"/>
      <c r="N289" t="str">
        <f>IFERROR(IF(VLOOKUP(Tb_Activiteiten[[#This Row],[Openstelling]],Tb_Openstelling[],2,0)=1,1,""),"")</f>
        <v/>
      </c>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25">
      <c r="A290" s="337"/>
      <c r="F290" s="79"/>
      <c r="G290" s="79"/>
      <c r="L290" s="71"/>
      <c r="N290" t="str">
        <f>IFERROR(IF(VLOOKUP(Tb_Activiteiten[[#This Row],[Openstelling]],Tb_Openstelling[],2,0)=1,1,""),"")</f>
        <v/>
      </c>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25">
      <c r="A291" s="337"/>
      <c r="F291" s="79"/>
      <c r="G291" s="79"/>
      <c r="L291" s="71"/>
      <c r="N291" t="str">
        <f>IFERROR(IF(VLOOKUP(Tb_Activiteiten[[#This Row],[Openstelling]],Tb_Openstelling[],2,0)=1,1,""),"")</f>
        <v/>
      </c>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25">
      <c r="A292" s="337"/>
      <c r="F292" s="79"/>
      <c r="G292" s="79"/>
      <c r="L292" s="71"/>
      <c r="N292" t="str">
        <f>IFERROR(IF(VLOOKUP(Tb_Activiteiten[[#This Row],[Openstelling]],Tb_Openstelling[],2,0)=1,1,""),"")</f>
        <v/>
      </c>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25">
      <c r="A293" s="337"/>
      <c r="F293" s="79"/>
      <c r="G293" s="79"/>
      <c r="L293" s="71"/>
      <c r="N293" t="str">
        <f>IFERROR(IF(VLOOKUP(Tb_Activiteiten[[#This Row],[Openstelling]],Tb_Openstelling[],2,0)=1,1,""),"")</f>
        <v/>
      </c>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25">
      <c r="A294" s="337"/>
      <c r="F294" s="79"/>
      <c r="G294" s="79"/>
      <c r="L294" s="71"/>
      <c r="N294" t="str">
        <f>IFERROR(IF(VLOOKUP(Tb_Activiteiten[[#This Row],[Openstelling]],Tb_Openstelling[],2,0)=1,1,""),"")</f>
        <v/>
      </c>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25">
      <c r="A295" s="337"/>
      <c r="F295" s="79"/>
      <c r="G295" s="79"/>
      <c r="L295" s="71"/>
      <c r="N295" t="str">
        <f>IFERROR(IF(VLOOKUP(Tb_Activiteiten[[#This Row],[Openstelling]],Tb_Openstelling[],2,0)=1,1,""),"")</f>
        <v/>
      </c>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25">
      <c r="A296" s="337"/>
      <c r="F296" s="79"/>
      <c r="G296" s="79"/>
      <c r="L296" s="71"/>
      <c r="N296" t="str">
        <f>IFERROR(IF(VLOOKUP(Tb_Activiteiten[[#This Row],[Openstelling]],Tb_Openstelling[],2,0)=1,1,""),"")</f>
        <v/>
      </c>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25">
      <c r="A297" s="337"/>
      <c r="F297" s="79"/>
      <c r="G297" s="79"/>
      <c r="L297" s="71"/>
      <c r="N297" t="str">
        <f>IFERROR(IF(VLOOKUP(Tb_Activiteiten[[#This Row],[Openstelling]],Tb_Openstelling[],2,0)=1,1,""),"")</f>
        <v/>
      </c>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25">
      <c r="A298" s="337"/>
      <c r="F298" s="79"/>
      <c r="G298" s="79"/>
      <c r="L298" s="71"/>
      <c r="N298" t="str">
        <f>IFERROR(IF(VLOOKUP(Tb_Activiteiten[[#This Row],[Openstelling]],Tb_Openstelling[],2,0)=1,1,""),"")</f>
        <v/>
      </c>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25">
      <c r="A299" s="337"/>
      <c r="F299" s="79"/>
      <c r="G299" s="79"/>
      <c r="L299" s="71"/>
      <c r="N299" t="str">
        <f>IFERROR(IF(VLOOKUP(Tb_Activiteiten[[#This Row],[Openstelling]],Tb_Openstelling[],2,0)=1,1,""),"")</f>
        <v/>
      </c>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25">
      <c r="A300" s="337"/>
      <c r="F300" s="79"/>
      <c r="G300" s="79"/>
      <c r="L300" s="71"/>
      <c r="N300" t="str">
        <f>IFERROR(IF(VLOOKUP(Tb_Activiteiten[[#This Row],[Openstelling]],Tb_Openstelling[],2,0)=1,1,""),"")</f>
        <v/>
      </c>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25">
      <c r="A301" s="337"/>
      <c r="F301" s="79"/>
      <c r="G301" s="79"/>
      <c r="L301" s="71"/>
      <c r="N301" t="str">
        <f>IFERROR(IF(VLOOKUP(Tb_Activiteiten[[#This Row],[Openstelling]],Tb_Openstelling[],2,0)=1,1,""),"")</f>
        <v/>
      </c>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25">
      <c r="A302" s="337"/>
      <c r="F302" s="79"/>
      <c r="G302" s="79"/>
      <c r="L302" s="71"/>
      <c r="N302" t="str">
        <f>IFERROR(IF(VLOOKUP(Tb_Activiteiten[[#This Row],[Openstelling]],Tb_Openstelling[],2,0)=1,1,""),"")</f>
        <v/>
      </c>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25">
      <c r="A303" s="337"/>
      <c r="F303" s="79"/>
      <c r="G303" s="79"/>
      <c r="L303" s="71"/>
      <c r="N303" t="str">
        <f>IFERROR(IF(VLOOKUP(Tb_Activiteiten[[#This Row],[Openstelling]],Tb_Openstelling[],2,0)=1,1,""),"")</f>
        <v/>
      </c>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25">
      <c r="A304" s="337"/>
      <c r="F304" s="79"/>
      <c r="G304" s="79"/>
      <c r="L304" s="71"/>
      <c r="N304" t="str">
        <f>IFERROR(IF(VLOOKUP(Tb_Activiteiten[[#This Row],[Openstelling]],Tb_Openstelling[],2,0)=1,1,""),"")</f>
        <v/>
      </c>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25">
      <c r="A305" s="337"/>
      <c r="F305" s="79"/>
      <c r="G305" s="79"/>
      <c r="L305" s="71"/>
      <c r="N305" t="str">
        <f>IFERROR(IF(VLOOKUP(Tb_Activiteiten[[#This Row],[Openstelling]],Tb_Openstelling[],2,0)=1,1,""),"")</f>
        <v/>
      </c>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25">
      <c r="A306" s="337"/>
      <c r="F306" s="79"/>
      <c r="G306" s="79"/>
      <c r="L306" s="71"/>
      <c r="N306" t="str">
        <f>IFERROR(IF(VLOOKUP(Tb_Activiteiten[[#This Row],[Openstelling]],Tb_Openstelling[],2,0)=1,1,""),"")</f>
        <v/>
      </c>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25">
      <c r="A307" s="337"/>
      <c r="F307" s="79"/>
      <c r="G307" s="79"/>
      <c r="L307" s="71"/>
      <c r="N307" t="str">
        <f>IFERROR(IF(VLOOKUP(Tb_Activiteiten[[#This Row],[Openstelling]],Tb_Openstelling[],2,0)=1,1,""),"")</f>
        <v/>
      </c>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25">
      <c r="A308" s="337"/>
      <c r="F308" s="79"/>
      <c r="G308" s="79"/>
      <c r="L308" s="71"/>
      <c r="N308" t="str">
        <f>IFERROR(IF(VLOOKUP(Tb_Activiteiten[[#This Row],[Openstelling]],Tb_Openstelling[],2,0)=1,1,""),"")</f>
        <v/>
      </c>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25">
      <c r="A309" s="337"/>
      <c r="F309" s="79"/>
      <c r="G309" s="79"/>
      <c r="L309" s="71"/>
      <c r="N309" t="str">
        <f>IFERROR(IF(VLOOKUP(Tb_Activiteiten[[#This Row],[Openstelling]],Tb_Openstelling[],2,0)=1,1,""),"")</f>
        <v/>
      </c>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25">
      <c r="A310" s="337"/>
      <c r="F310" s="79"/>
      <c r="G310" s="79"/>
      <c r="L310" s="71"/>
      <c r="N310" t="str">
        <f>IFERROR(IF(VLOOKUP(Tb_Activiteiten[[#This Row],[Openstelling]],Tb_Openstelling[],2,0)=1,1,""),"")</f>
        <v/>
      </c>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25">
      <c r="A311" s="337"/>
      <c r="F311" s="79"/>
      <c r="G311" s="79"/>
      <c r="L311" s="71"/>
      <c r="N311" t="str">
        <f>IFERROR(IF(VLOOKUP(Tb_Activiteiten[[#This Row],[Openstelling]],Tb_Openstelling[],2,0)=1,1,""),"")</f>
        <v/>
      </c>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25">
      <c r="A312" s="337"/>
      <c r="F312" s="79"/>
      <c r="G312" s="79"/>
      <c r="L312" s="71"/>
      <c r="N312" t="str">
        <f>IFERROR(IF(VLOOKUP(Tb_Activiteiten[[#This Row],[Openstelling]],Tb_Openstelling[],2,0)=1,1,""),"")</f>
        <v/>
      </c>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25">
      <c r="A313" s="337"/>
      <c r="F313" s="79"/>
      <c r="G313" s="79"/>
      <c r="L313" s="71"/>
      <c r="N313" t="str">
        <f>IFERROR(IF(VLOOKUP(Tb_Activiteiten[[#This Row],[Openstelling]],Tb_Openstelling[],2,0)=1,1,""),"")</f>
        <v/>
      </c>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25">
      <c r="A314" s="337"/>
      <c r="F314" s="79"/>
      <c r="G314" s="79"/>
      <c r="L314" s="71"/>
      <c r="N314" t="str">
        <f>IFERROR(IF(VLOOKUP(Tb_Activiteiten[[#This Row],[Openstelling]],Tb_Openstelling[],2,0)=1,1,""),"")</f>
        <v/>
      </c>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25">
      <c r="A315" s="337"/>
      <c r="F315" s="79"/>
      <c r="G315" s="79"/>
      <c r="L315" s="71"/>
      <c r="N315" t="str">
        <f>IFERROR(IF(VLOOKUP(Tb_Activiteiten[[#This Row],[Openstelling]],Tb_Openstelling[],2,0)=1,1,""),"")</f>
        <v/>
      </c>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25">
      <c r="A316" s="337"/>
      <c r="F316" s="79"/>
      <c r="G316" s="79"/>
      <c r="L316" s="71"/>
      <c r="N316" t="str">
        <f>IFERROR(IF(VLOOKUP(Tb_Activiteiten[[#This Row],[Openstelling]],Tb_Openstelling[],2,0)=1,1,""),"")</f>
        <v/>
      </c>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25">
      <c r="A317" s="337"/>
      <c r="F317" s="79"/>
      <c r="G317" s="79"/>
      <c r="L317" s="71"/>
      <c r="N317" t="str">
        <f>IFERROR(IF(VLOOKUP(Tb_Activiteiten[[#This Row],[Openstelling]],Tb_Openstelling[],2,0)=1,1,""),"")</f>
        <v/>
      </c>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25">
      <c r="A318" s="337"/>
      <c r="F318" s="79"/>
      <c r="G318" s="79"/>
      <c r="L318" s="71"/>
      <c r="N318" t="str">
        <f>IFERROR(IF(VLOOKUP(Tb_Activiteiten[[#This Row],[Openstelling]],Tb_Openstelling[],2,0)=1,1,""),"")</f>
        <v/>
      </c>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25">
      <c r="A319" s="337"/>
      <c r="F319" s="79"/>
      <c r="G319" s="79"/>
      <c r="L319" s="71"/>
      <c r="N319" t="str">
        <f>IFERROR(IF(VLOOKUP(Tb_Activiteiten[[#This Row],[Openstelling]],Tb_Openstelling[],2,0)=1,1,""),"")</f>
        <v/>
      </c>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25">
      <c r="A320" s="337"/>
      <c r="F320" s="79"/>
      <c r="G320" s="79"/>
      <c r="L320" s="71"/>
      <c r="N320" t="str">
        <f>IFERROR(IF(VLOOKUP(Tb_Activiteiten[[#This Row],[Openstelling]],Tb_Openstelling[],2,0)=1,1,""),"")</f>
        <v/>
      </c>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25">
      <c r="A321" s="337"/>
      <c r="F321" s="79"/>
      <c r="G321" s="79"/>
      <c r="L321" s="71"/>
      <c r="N321" t="str">
        <f>IFERROR(IF(VLOOKUP(Tb_Activiteiten[[#This Row],[Openstelling]],Tb_Openstelling[],2,0)=1,1,""),"")</f>
        <v/>
      </c>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25">
      <c r="A322" s="337"/>
      <c r="F322" s="79"/>
      <c r="G322" s="79"/>
      <c r="L322" s="71"/>
      <c r="N322" t="str">
        <f>IFERROR(IF(VLOOKUP(Tb_Activiteiten[[#This Row],[Openstelling]],Tb_Openstelling[],2,0)=1,1,""),"")</f>
        <v/>
      </c>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25">
      <c r="A323" s="337"/>
      <c r="F323" s="79"/>
      <c r="G323" s="79"/>
      <c r="L323" s="71"/>
      <c r="N323" t="str">
        <f>IFERROR(IF(VLOOKUP(Tb_Activiteiten[[#This Row],[Openstelling]],Tb_Openstelling[],2,0)=1,1,""),"")</f>
        <v/>
      </c>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25">
      <c r="A324" s="337"/>
      <c r="F324" s="79"/>
      <c r="G324" s="79"/>
      <c r="L324" s="71"/>
      <c r="N324" t="str">
        <f>IFERROR(IF(VLOOKUP(Tb_Activiteiten[[#This Row],[Openstelling]],Tb_Openstelling[],2,0)=1,1,""),"")</f>
        <v/>
      </c>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25">
      <c r="A325" s="337"/>
      <c r="F325" s="79"/>
      <c r="G325" s="79"/>
      <c r="L325" s="71"/>
      <c r="N325" t="str">
        <f>IFERROR(IF(VLOOKUP(Tb_Activiteiten[[#This Row],[Openstelling]],Tb_Openstelling[],2,0)=1,1,""),"")</f>
        <v/>
      </c>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25">
      <c r="A326" s="337"/>
      <c r="F326" s="79"/>
      <c r="G326" s="79"/>
      <c r="L326" s="71"/>
      <c r="N326" t="str">
        <f>IFERROR(IF(VLOOKUP(Tb_Activiteiten[[#This Row],[Openstelling]],Tb_Openstelling[],2,0)=1,1,""),"")</f>
        <v/>
      </c>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25">
      <c r="A327" s="337"/>
      <c r="F327" s="79"/>
      <c r="G327" s="79"/>
      <c r="L327" s="71"/>
      <c r="N327" t="str">
        <f>IFERROR(IF(VLOOKUP(Tb_Activiteiten[[#This Row],[Openstelling]],Tb_Openstelling[],2,0)=1,1,""),"")</f>
        <v/>
      </c>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25">
      <c r="A328" s="337"/>
      <c r="F328" s="79"/>
      <c r="G328" s="79"/>
      <c r="L328" s="71"/>
      <c r="N328" t="str">
        <f>IFERROR(IF(VLOOKUP(Tb_Activiteiten[[#This Row],[Openstelling]],Tb_Openstelling[],2,0)=1,1,""),"")</f>
        <v/>
      </c>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25">
      <c r="A329" s="337"/>
      <c r="F329" s="79"/>
      <c r="G329" s="79"/>
      <c r="L329" s="71"/>
      <c r="N329" t="str">
        <f>IFERROR(IF(VLOOKUP(Tb_Activiteiten[[#This Row],[Openstelling]],Tb_Openstelling[],2,0)=1,1,""),"")</f>
        <v/>
      </c>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25">
      <c r="A330" s="337"/>
      <c r="F330" s="79"/>
      <c r="G330" s="79"/>
      <c r="L330" s="71"/>
      <c r="N330" t="str">
        <f>IFERROR(IF(VLOOKUP(Tb_Activiteiten[[#This Row],[Openstelling]],Tb_Openstelling[],2,0)=1,1,""),"")</f>
        <v/>
      </c>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25">
      <c r="A331" s="337"/>
      <c r="F331" s="79"/>
      <c r="G331" s="79"/>
      <c r="L331" s="71"/>
      <c r="N331" t="str">
        <f>IFERROR(IF(VLOOKUP(Tb_Activiteiten[[#This Row],[Openstelling]],Tb_Openstelling[],2,0)=1,1,""),"")</f>
        <v/>
      </c>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25">
      <c r="A332" s="337"/>
      <c r="F332" s="79"/>
      <c r="G332" s="79"/>
      <c r="L332" s="71"/>
      <c r="N332" t="str">
        <f>IFERROR(IF(VLOOKUP(Tb_Activiteiten[[#This Row],[Openstelling]],Tb_Openstelling[],2,0)=1,1,""),"")</f>
        <v/>
      </c>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25">
      <c r="A333" s="337"/>
      <c r="F333" s="79"/>
      <c r="G333" s="79"/>
      <c r="L333" s="71"/>
      <c r="N333" t="str">
        <f>IFERROR(IF(VLOOKUP(Tb_Activiteiten[[#This Row],[Openstelling]],Tb_Openstelling[],2,0)=1,1,""),"")</f>
        <v/>
      </c>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25">
      <c r="A334" s="337"/>
      <c r="F334" s="79"/>
      <c r="G334" s="79"/>
      <c r="L334" s="71"/>
      <c r="N334" t="str">
        <f>IFERROR(IF(VLOOKUP(Tb_Activiteiten[[#This Row],[Openstelling]],Tb_Openstelling[],2,0)=1,1,""),"")</f>
        <v/>
      </c>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25">
      <c r="A335" s="337"/>
      <c r="F335" s="79"/>
      <c r="G335" s="79"/>
      <c r="L335" s="71"/>
      <c r="N335" t="str">
        <f>IFERROR(IF(VLOOKUP(Tb_Activiteiten[[#This Row],[Openstelling]],Tb_Openstelling[],2,0)=1,1,""),"")</f>
        <v/>
      </c>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25">
      <c r="A336" s="337"/>
      <c r="F336" s="79"/>
      <c r="G336" s="79"/>
      <c r="L336" s="71"/>
      <c r="N336" t="str">
        <f>IFERROR(IF(VLOOKUP(Tb_Activiteiten[[#This Row],[Openstelling]],Tb_Openstelling[],2,0)=1,1,""),"")</f>
        <v/>
      </c>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25">
      <c r="A337" s="337"/>
      <c r="F337" s="79"/>
      <c r="G337" s="79"/>
      <c r="L337" s="71"/>
      <c r="N337" t="str">
        <f>IFERROR(IF(VLOOKUP(Tb_Activiteiten[[#This Row],[Openstelling]],Tb_Openstelling[],2,0)=1,1,""),"")</f>
        <v/>
      </c>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25">
      <c r="A338" s="337"/>
      <c r="F338" s="79"/>
      <c r="G338" s="79"/>
      <c r="L338" s="71"/>
      <c r="N338" t="str">
        <f>IFERROR(IF(VLOOKUP(Tb_Activiteiten[[#This Row],[Openstelling]],Tb_Openstelling[],2,0)=1,1,""),"")</f>
        <v/>
      </c>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25">
      <c r="A339" s="337"/>
      <c r="F339" s="79"/>
      <c r="G339" s="79"/>
      <c r="L339" s="71"/>
      <c r="N339" t="str">
        <f>IFERROR(IF(VLOOKUP(Tb_Activiteiten[[#This Row],[Openstelling]],Tb_Openstelling[],2,0)=1,1,""),"")</f>
        <v/>
      </c>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25">
      <c r="A340" s="337"/>
      <c r="F340" s="79"/>
      <c r="G340" s="79"/>
      <c r="L340" s="71"/>
      <c r="N340" t="str">
        <f>IFERROR(IF(VLOOKUP(Tb_Activiteiten[[#This Row],[Openstelling]],Tb_Openstelling[],2,0)=1,1,""),"")</f>
        <v/>
      </c>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25">
      <c r="A341" s="337"/>
      <c r="F341" s="79"/>
      <c r="G341" s="79"/>
      <c r="L341" s="71"/>
      <c r="N341" t="str">
        <f>IFERROR(IF(VLOOKUP(Tb_Activiteiten[[#This Row],[Openstelling]],Tb_Openstelling[],2,0)=1,1,""),"")</f>
        <v/>
      </c>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25">
      <c r="A342" s="337"/>
      <c r="F342" s="79"/>
      <c r="G342" s="79"/>
      <c r="L342" s="71"/>
      <c r="N342" t="str">
        <f>IFERROR(IF(VLOOKUP(Tb_Activiteiten[[#This Row],[Openstelling]],Tb_Openstelling[],2,0)=1,1,""),"")</f>
        <v/>
      </c>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25">
      <c r="A343" s="337"/>
      <c r="F343" s="79"/>
      <c r="G343" s="79"/>
      <c r="L343" s="71"/>
      <c r="N343" t="str">
        <f>IFERROR(IF(VLOOKUP(Tb_Activiteiten[[#This Row],[Openstelling]],Tb_Openstelling[],2,0)=1,1,""),"")</f>
        <v/>
      </c>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25">
      <c r="A344" s="337"/>
      <c r="F344" s="79"/>
      <c r="G344" s="79"/>
      <c r="L344" s="71"/>
      <c r="N344" t="str">
        <f>IFERROR(IF(VLOOKUP(Tb_Activiteiten[[#This Row],[Openstelling]],Tb_Openstelling[],2,0)=1,1,""),"")</f>
        <v/>
      </c>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25">
      <c r="A345" s="337"/>
      <c r="F345" s="79"/>
      <c r="G345" s="79"/>
      <c r="L345" s="71"/>
      <c r="N345" t="str">
        <f>IFERROR(IF(VLOOKUP(Tb_Activiteiten[[#This Row],[Openstelling]],Tb_Openstelling[],2,0)=1,1,""),"")</f>
        <v/>
      </c>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25">
      <c r="A346" s="337"/>
      <c r="F346" s="79"/>
      <c r="G346" s="79"/>
      <c r="L346" s="71"/>
      <c r="N346" t="str">
        <f>IFERROR(IF(VLOOKUP(Tb_Activiteiten[[#This Row],[Openstelling]],Tb_Openstelling[],2,0)=1,1,""),"")</f>
        <v/>
      </c>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25">
      <c r="A347" s="337"/>
      <c r="F347" s="79"/>
      <c r="G347" s="79"/>
      <c r="L347" s="71"/>
      <c r="N347" t="str">
        <f>IFERROR(IF(VLOOKUP(Tb_Activiteiten[[#This Row],[Openstelling]],Tb_Openstelling[],2,0)=1,1,""),"")</f>
        <v/>
      </c>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25">
      <c r="A348" s="337"/>
      <c r="F348" s="79"/>
      <c r="G348" s="79"/>
      <c r="L348" s="71"/>
      <c r="N348" t="str">
        <f>IFERROR(IF(VLOOKUP(Tb_Activiteiten[[#This Row],[Openstelling]],Tb_Openstelling[],2,0)=1,1,""),"")</f>
        <v/>
      </c>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25">
      <c r="A349" s="337"/>
      <c r="F349" s="79"/>
      <c r="G349" s="79"/>
      <c r="L349" s="71"/>
      <c r="N349" t="str">
        <f>IFERROR(IF(VLOOKUP(Tb_Activiteiten[[#This Row],[Openstelling]],Tb_Openstelling[],2,0)=1,1,""),"")</f>
        <v/>
      </c>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25">
      <c r="A350" s="337"/>
      <c r="F350" s="79"/>
      <c r="G350" s="79"/>
      <c r="L350" s="71"/>
      <c r="N350" t="str">
        <f>IFERROR(IF(VLOOKUP(Tb_Activiteiten[[#This Row],[Openstelling]],Tb_Openstelling[],2,0)=1,1,""),"")</f>
        <v/>
      </c>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25">
      <c r="A351" s="337"/>
      <c r="F351" s="79"/>
      <c r="G351" s="79"/>
      <c r="L351" s="71"/>
      <c r="N351" t="str">
        <f>IFERROR(IF(VLOOKUP(Tb_Activiteiten[[#This Row],[Openstelling]],Tb_Openstelling[],2,0)=1,1,""),"")</f>
        <v/>
      </c>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25">
      <c r="A352" s="337"/>
      <c r="F352" s="79"/>
      <c r="G352" s="79"/>
      <c r="L352" s="71"/>
      <c r="N352" t="str">
        <f>IFERROR(IF(VLOOKUP(Tb_Activiteiten[[#This Row],[Openstelling]],Tb_Openstelling[],2,0)=1,1,""),"")</f>
        <v/>
      </c>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25">
      <c r="A353" s="337"/>
      <c r="F353" s="79"/>
      <c r="G353" s="79"/>
      <c r="L353" s="71"/>
      <c r="N353" t="str">
        <f>IFERROR(IF(VLOOKUP(Tb_Activiteiten[[#This Row],[Openstelling]],Tb_Openstelling[],2,0)=1,1,""),"")</f>
        <v/>
      </c>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25">
      <c r="A354" s="337"/>
      <c r="F354" s="79"/>
      <c r="G354" s="79"/>
      <c r="L354" s="71"/>
      <c r="N354" t="str">
        <f>IFERROR(IF(VLOOKUP(Tb_Activiteiten[[#This Row],[Openstelling]],Tb_Openstelling[],2,0)=1,1,""),"")</f>
        <v/>
      </c>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25">
      <c r="A355" s="337"/>
      <c r="F355" s="79"/>
      <c r="G355" s="79"/>
      <c r="L355" s="71"/>
      <c r="N355" t="str">
        <f>IFERROR(IF(VLOOKUP(Tb_Activiteiten[[#This Row],[Openstelling]],Tb_Openstelling[],2,0)=1,1,""),"")</f>
        <v/>
      </c>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25">
      <c r="A356" s="337"/>
      <c r="F356" s="79"/>
      <c r="G356" s="79"/>
      <c r="L356" s="71"/>
      <c r="N356" t="str">
        <f>IFERROR(IF(VLOOKUP(Tb_Activiteiten[[#This Row],[Openstelling]],Tb_Openstelling[],2,0)=1,1,""),"")</f>
        <v/>
      </c>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25">
      <c r="A357" s="337"/>
      <c r="F357" s="79"/>
      <c r="G357" s="79"/>
      <c r="L357" s="71"/>
      <c r="N357" t="str">
        <f>IFERROR(IF(VLOOKUP(Tb_Activiteiten[[#This Row],[Openstelling]],Tb_Openstelling[],2,0)=1,1,""),"")</f>
        <v/>
      </c>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25">
      <c r="A358" s="337"/>
      <c r="F358" s="79"/>
      <c r="G358" s="79"/>
      <c r="L358" s="71"/>
      <c r="N358" t="str">
        <f>IFERROR(IF(VLOOKUP(Tb_Activiteiten[[#This Row],[Openstelling]],Tb_Openstelling[],2,0)=1,1,""),"")</f>
        <v/>
      </c>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25">
      <c r="A359" s="337"/>
      <c r="F359" s="79"/>
      <c r="G359" s="79"/>
      <c r="L359" s="71"/>
      <c r="N359" t="str">
        <f>IFERROR(IF(VLOOKUP(Tb_Activiteiten[[#This Row],[Openstelling]],Tb_Openstelling[],2,0)=1,1,""),"")</f>
        <v/>
      </c>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25">
      <c r="A360" s="337"/>
      <c r="F360" s="79"/>
      <c r="G360" s="79"/>
      <c r="L360" s="71"/>
      <c r="N360" t="str">
        <f>IFERROR(IF(VLOOKUP(Tb_Activiteiten[[#This Row],[Openstelling]],Tb_Openstelling[],2,0)=1,1,""),"")</f>
        <v/>
      </c>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25">
      <c r="A361" s="337"/>
      <c r="F361" s="79"/>
      <c r="G361" s="79"/>
      <c r="L361" s="71"/>
      <c r="N361" t="str">
        <f>IFERROR(IF(VLOOKUP(Tb_Activiteiten[[#This Row],[Openstelling]],Tb_Openstelling[],2,0)=1,1,""),"")</f>
        <v/>
      </c>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25">
      <c r="A362" s="337"/>
      <c r="F362" s="79"/>
      <c r="G362" s="79"/>
      <c r="L362" s="71"/>
      <c r="N362" t="str">
        <f>IFERROR(IF(VLOOKUP(Tb_Activiteiten[[#This Row],[Openstelling]],Tb_Openstelling[],2,0)=1,1,""),"")</f>
        <v/>
      </c>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25">
      <c r="A363" s="337"/>
      <c r="F363" s="79"/>
      <c r="G363" s="79"/>
      <c r="L363" s="71"/>
      <c r="N363" t="str">
        <f>IFERROR(IF(VLOOKUP(Tb_Activiteiten[[#This Row],[Openstelling]],Tb_Openstelling[],2,0)=1,1,""),"")</f>
        <v/>
      </c>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25">
      <c r="A364" s="337"/>
      <c r="F364" s="79"/>
      <c r="G364" s="79"/>
      <c r="L364" s="71"/>
      <c r="N364" t="str">
        <f>IFERROR(IF(VLOOKUP(Tb_Activiteiten[[#This Row],[Openstelling]],Tb_Openstelling[],2,0)=1,1,""),"")</f>
        <v/>
      </c>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25">
      <c r="A365" s="337"/>
      <c r="F365" s="79"/>
      <c r="G365" s="79"/>
      <c r="L365" s="71"/>
      <c r="N365" t="str">
        <f>IFERROR(IF(VLOOKUP(Tb_Activiteiten[[#This Row],[Openstelling]],Tb_Openstelling[],2,0)=1,1,""),"")</f>
        <v/>
      </c>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25">
      <c r="A366" s="337"/>
      <c r="F366" s="79"/>
      <c r="G366" s="79"/>
      <c r="L366" s="71"/>
      <c r="N366" t="str">
        <f>IFERROR(IF(VLOOKUP(Tb_Activiteiten[[#This Row],[Openstelling]],Tb_Openstelling[],2,0)=1,1,""),"")</f>
        <v/>
      </c>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25">
      <c r="A367" s="337"/>
      <c r="F367" s="79"/>
      <c r="G367" s="79"/>
      <c r="L367" s="71"/>
      <c r="N367" t="str">
        <f>IFERROR(IF(VLOOKUP(Tb_Activiteiten[[#This Row],[Openstelling]],Tb_Openstelling[],2,0)=1,1,""),"")</f>
        <v/>
      </c>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25">
      <c r="A368" s="337"/>
      <c r="F368" s="79"/>
      <c r="G368" s="79"/>
      <c r="L368" s="71"/>
      <c r="N368" t="str">
        <f>IFERROR(IF(VLOOKUP(Tb_Activiteiten[[#This Row],[Openstelling]],Tb_Openstelling[],2,0)=1,1,""),"")</f>
        <v/>
      </c>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25">
      <c r="A369" s="337"/>
      <c r="F369" s="79"/>
      <c r="G369" s="79"/>
      <c r="L369" s="71"/>
      <c r="N369" t="str">
        <f>IFERROR(IF(VLOOKUP(Tb_Activiteiten[[#This Row],[Openstelling]],Tb_Openstelling[],2,0)=1,1,""),"")</f>
        <v/>
      </c>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25">
      <c r="A370" s="337"/>
      <c r="F370" s="79"/>
      <c r="G370" s="79"/>
      <c r="L370" s="71"/>
      <c r="N370" t="str">
        <f>IFERROR(IF(VLOOKUP(Tb_Activiteiten[[#This Row],[Openstelling]],Tb_Openstelling[],2,0)=1,1,""),"")</f>
        <v/>
      </c>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25">
      <c r="A371" s="337"/>
      <c r="F371" s="79"/>
      <c r="G371" s="79"/>
      <c r="L371" s="71"/>
      <c r="N371" t="str">
        <f>IFERROR(IF(VLOOKUP(Tb_Activiteiten[[#This Row],[Openstelling]],Tb_Openstelling[],2,0)=1,1,""),"")</f>
        <v/>
      </c>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25">
      <c r="A372" s="337"/>
      <c r="F372" s="79"/>
      <c r="G372" s="79"/>
      <c r="L372" s="71"/>
      <c r="N372" t="str">
        <f>IFERROR(IF(VLOOKUP(Tb_Activiteiten[[#This Row],[Openstelling]],Tb_Openstelling[],2,0)=1,1,""),"")</f>
        <v/>
      </c>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25">
      <c r="A373" s="337"/>
      <c r="F373" s="79"/>
      <c r="G373" s="79"/>
      <c r="L373" s="71"/>
      <c r="N373" t="str">
        <f>IFERROR(IF(VLOOKUP(Tb_Activiteiten[[#This Row],[Openstelling]],Tb_Openstelling[],2,0)=1,1,""),"")</f>
        <v/>
      </c>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25">
      <c r="A374" s="337"/>
      <c r="F374" s="79"/>
      <c r="G374" s="79"/>
      <c r="L374" s="71"/>
      <c r="N374" t="str">
        <f>IFERROR(IF(VLOOKUP(Tb_Activiteiten[[#This Row],[Openstelling]],Tb_Openstelling[],2,0)=1,1,""),"")</f>
        <v/>
      </c>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25">
      <c r="A375" s="337"/>
      <c r="F375" s="79"/>
      <c r="G375" s="79"/>
      <c r="L375" s="71"/>
      <c r="N375" t="str">
        <f>IFERROR(IF(VLOOKUP(Tb_Activiteiten[[#This Row],[Openstelling]],Tb_Openstelling[],2,0)=1,1,""),"")</f>
        <v/>
      </c>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25">
      <c r="A376" s="337"/>
      <c r="F376" s="79"/>
      <c r="G376" s="79"/>
      <c r="L376" s="71"/>
      <c r="N376" t="str">
        <f>IFERROR(IF(VLOOKUP(Tb_Activiteiten[[#This Row],[Openstelling]],Tb_Openstelling[],2,0)=1,1,""),"")</f>
        <v/>
      </c>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25">
      <c r="A377" s="337"/>
      <c r="F377" s="79"/>
      <c r="G377" s="79"/>
      <c r="L377" s="71"/>
      <c r="N377" t="str">
        <f>IFERROR(IF(VLOOKUP(Tb_Activiteiten[[#This Row],[Openstelling]],Tb_Openstelling[],2,0)=1,1,""),"")</f>
        <v/>
      </c>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25">
      <c r="A378" s="337"/>
      <c r="F378" s="79"/>
      <c r="G378" s="79"/>
      <c r="L378" s="71"/>
      <c r="N378" t="str">
        <f>IFERROR(IF(VLOOKUP(Tb_Activiteiten[[#This Row],[Openstelling]],Tb_Openstelling[],2,0)=1,1,""),"")</f>
        <v/>
      </c>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25">
      <c r="A379" s="337"/>
      <c r="F379" s="79"/>
      <c r="G379" s="79"/>
      <c r="L379" s="71"/>
      <c r="N379" t="str">
        <f>IFERROR(IF(VLOOKUP(Tb_Activiteiten[[#This Row],[Openstelling]],Tb_Openstelling[],2,0)=1,1,""),"")</f>
        <v/>
      </c>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25">
      <c r="A380" s="337"/>
      <c r="F380" s="79"/>
      <c r="G380" s="79"/>
      <c r="L380" s="71"/>
      <c r="N380" t="str">
        <f>IFERROR(IF(VLOOKUP(Tb_Activiteiten[[#This Row],[Openstelling]],Tb_Openstelling[],2,0)=1,1,""),"")</f>
        <v/>
      </c>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25">
      <c r="A381" s="337"/>
      <c r="F381" s="79"/>
      <c r="G381" s="79"/>
      <c r="L381" s="71"/>
      <c r="N381" t="str">
        <f>IFERROR(IF(VLOOKUP(Tb_Activiteiten[[#This Row],[Openstelling]],Tb_Openstelling[],2,0)=1,1,""),"")</f>
        <v/>
      </c>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25">
      <c r="A382" s="337"/>
      <c r="F382" s="79"/>
      <c r="G382" s="79"/>
      <c r="L382" s="71"/>
      <c r="N382" t="str">
        <f>IFERROR(IF(VLOOKUP(Tb_Activiteiten[[#This Row],[Openstelling]],Tb_Openstelling[],2,0)=1,1,""),"")</f>
        <v/>
      </c>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25">
      <c r="A383" s="337"/>
      <c r="F383" s="79"/>
      <c r="G383" s="79"/>
      <c r="L383" s="71"/>
      <c r="N383" t="str">
        <f>IFERROR(IF(VLOOKUP(Tb_Activiteiten[[#This Row],[Openstelling]],Tb_Openstelling[],2,0)=1,1,""),"")</f>
        <v/>
      </c>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25">
      <c r="A384" s="337"/>
      <c r="F384" s="79"/>
      <c r="G384" s="79"/>
      <c r="L384" s="71"/>
      <c r="N384" t="str">
        <f>IFERROR(IF(VLOOKUP(Tb_Activiteiten[[#This Row],[Openstelling]],Tb_Openstelling[],2,0)=1,1,""),"")</f>
        <v/>
      </c>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25">
      <c r="A385" s="337"/>
      <c r="F385" s="79"/>
      <c r="G385" s="79"/>
      <c r="L385" s="71"/>
      <c r="N385" t="str">
        <f>IFERROR(IF(VLOOKUP(Tb_Activiteiten[[#This Row],[Openstelling]],Tb_Openstelling[],2,0)=1,1,""),"")</f>
        <v/>
      </c>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25">
      <c r="A386" s="337"/>
      <c r="F386" s="79"/>
      <c r="G386" s="79"/>
      <c r="L386" s="71"/>
      <c r="N386" t="str">
        <f>IFERROR(IF(VLOOKUP(Tb_Activiteiten[[#This Row],[Openstelling]],Tb_Openstelling[],2,0)=1,1,""),"")</f>
        <v/>
      </c>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25">
      <c r="A387" s="337"/>
      <c r="F387" s="79"/>
      <c r="G387" s="79"/>
      <c r="L387" s="71"/>
      <c r="N387" t="str">
        <f>IFERROR(IF(VLOOKUP(Tb_Activiteiten[[#This Row],[Openstelling]],Tb_Openstelling[],2,0)=1,1,""),"")</f>
        <v/>
      </c>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25">
      <c r="A388" s="337"/>
      <c r="F388" s="79"/>
      <c r="G388" s="79"/>
      <c r="L388" s="71"/>
      <c r="N388" t="str">
        <f>IFERROR(IF(VLOOKUP(Tb_Activiteiten[[#This Row],[Openstelling]],Tb_Openstelling[],2,0)=1,1,""),"")</f>
        <v/>
      </c>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25">
      <c r="A389" s="337"/>
      <c r="F389" s="79"/>
      <c r="G389" s="79"/>
      <c r="L389" s="71"/>
      <c r="N389" t="str">
        <f>IFERROR(IF(VLOOKUP(Tb_Activiteiten[[#This Row],[Openstelling]],Tb_Openstelling[],2,0)=1,1,""),"")</f>
        <v/>
      </c>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25">
      <c r="A390" s="337"/>
      <c r="F390" s="79"/>
      <c r="G390" s="79"/>
      <c r="L390" s="71"/>
      <c r="N390" t="str">
        <f>IFERROR(IF(VLOOKUP(Tb_Activiteiten[[#This Row],[Openstelling]],Tb_Openstelling[],2,0)=1,1,""),"")</f>
        <v/>
      </c>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25">
      <c r="A391" s="337"/>
      <c r="F391" s="79"/>
      <c r="G391" s="79"/>
      <c r="L391" s="71"/>
      <c r="N391" t="str">
        <f>IFERROR(IF(VLOOKUP(Tb_Activiteiten[[#This Row],[Openstelling]],Tb_Openstelling[],2,0)=1,1,""),"")</f>
        <v/>
      </c>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25">
      <c r="A392" s="337"/>
      <c r="F392" s="79"/>
      <c r="G392" s="79"/>
      <c r="L392" s="71"/>
      <c r="N392" t="str">
        <f>IFERROR(IF(VLOOKUP(Tb_Activiteiten[[#This Row],[Openstelling]],Tb_Openstelling[],2,0)=1,1,""),"")</f>
        <v/>
      </c>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25">
      <c r="A393" s="337"/>
      <c r="F393" s="79"/>
      <c r="G393" s="79"/>
      <c r="L393" s="71"/>
      <c r="N393" t="str">
        <f>IFERROR(IF(VLOOKUP(Tb_Activiteiten[[#This Row],[Openstelling]],Tb_Openstelling[],2,0)=1,1,""),"")</f>
        <v/>
      </c>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25">
      <c r="A394" s="337"/>
      <c r="F394" s="79"/>
      <c r="G394" s="79"/>
      <c r="L394" s="71"/>
      <c r="N394" t="str">
        <f>IFERROR(IF(VLOOKUP(Tb_Activiteiten[[#This Row],[Openstelling]],Tb_Openstelling[],2,0)=1,1,""),"")</f>
        <v/>
      </c>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25">
      <c r="A395" s="337"/>
      <c r="F395" s="79"/>
      <c r="G395" s="79"/>
      <c r="L395" s="71"/>
      <c r="N395" t="str">
        <f>IFERROR(IF(VLOOKUP(Tb_Activiteiten[[#This Row],[Openstelling]],Tb_Openstelling[],2,0)=1,1,""),"")</f>
        <v/>
      </c>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25">
      <c r="A396" s="337"/>
      <c r="F396" s="79"/>
      <c r="G396" s="79"/>
      <c r="L396" s="71"/>
      <c r="N396" t="str">
        <f>IFERROR(IF(VLOOKUP(Tb_Activiteiten[[#This Row],[Openstelling]],Tb_Openstelling[],2,0)=1,1,""),"")</f>
        <v/>
      </c>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25">
      <c r="A397" s="337"/>
      <c r="F397" s="79"/>
      <c r="G397" s="79"/>
      <c r="L397" s="71"/>
      <c r="N397" t="str">
        <f>IFERROR(IF(VLOOKUP(Tb_Activiteiten[[#This Row],[Openstelling]],Tb_Openstelling[],2,0)=1,1,""),"")</f>
        <v/>
      </c>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25">
      <c r="A398" s="337"/>
      <c r="F398" s="79"/>
      <c r="G398" s="79"/>
      <c r="L398" s="71"/>
      <c r="N398" t="str">
        <f>IFERROR(IF(VLOOKUP(Tb_Activiteiten[[#This Row],[Openstelling]],Tb_Openstelling[],2,0)=1,1,""),"")</f>
        <v/>
      </c>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25">
      <c r="A399" s="337"/>
      <c r="F399" s="79"/>
      <c r="G399" s="79"/>
      <c r="L399" s="71"/>
      <c r="N399" t="str">
        <f>IFERROR(IF(VLOOKUP(Tb_Activiteiten[[#This Row],[Openstelling]],Tb_Openstelling[],2,0)=1,1,""),"")</f>
        <v/>
      </c>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25">
      <c r="A400" s="337"/>
      <c r="F400" s="79"/>
      <c r="G400" s="79"/>
      <c r="L400" s="71"/>
      <c r="N400" t="str">
        <f>IFERROR(IF(VLOOKUP(Tb_Activiteiten[[#This Row],[Openstelling]],Tb_Openstelling[],2,0)=1,1,""),"")</f>
        <v/>
      </c>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25">
      <c r="A401" s="337"/>
      <c r="F401" s="79"/>
      <c r="G401" s="79"/>
      <c r="L401" s="71"/>
      <c r="N401" t="str">
        <f>IFERROR(IF(VLOOKUP(Tb_Activiteiten[[#This Row],[Openstelling]],Tb_Openstelling[],2,0)=1,1,""),"")</f>
        <v/>
      </c>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25">
      <c r="A402" s="337"/>
      <c r="F402" s="79"/>
      <c r="G402" s="79"/>
      <c r="L402" s="71"/>
      <c r="N402" t="str">
        <f>IFERROR(IF(VLOOKUP(Tb_Activiteiten[[#This Row],[Openstelling]],Tb_Openstelling[],2,0)=1,1,""),"")</f>
        <v/>
      </c>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25">
      <c r="A403" s="337"/>
      <c r="F403" s="79"/>
      <c r="G403" s="79"/>
      <c r="L403" s="71"/>
      <c r="N403" t="str">
        <f>IFERROR(IF(VLOOKUP(Tb_Activiteiten[[#This Row],[Openstelling]],Tb_Openstelling[],2,0)=1,1,""),"")</f>
        <v/>
      </c>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25">
      <c r="A404" s="337"/>
      <c r="F404" s="79"/>
      <c r="G404" s="79"/>
      <c r="L404" s="71"/>
      <c r="N404" t="str">
        <f>IFERROR(IF(VLOOKUP(Tb_Activiteiten[[#This Row],[Openstelling]],Tb_Openstelling[],2,0)=1,1,""),"")</f>
        <v/>
      </c>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25">
      <c r="A405" s="337"/>
      <c r="F405" s="79"/>
      <c r="G405" s="79"/>
      <c r="L405" s="71"/>
      <c r="N405" t="str">
        <f>IFERROR(IF(VLOOKUP(Tb_Activiteiten[[#This Row],[Openstelling]],Tb_Openstelling[],2,0)=1,1,""),"")</f>
        <v/>
      </c>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25">
      <c r="A406" s="337"/>
      <c r="F406" s="79"/>
      <c r="G406" s="79"/>
      <c r="L406" s="71"/>
      <c r="N406" t="str">
        <f>IFERROR(IF(VLOOKUP(Tb_Activiteiten[[#This Row],[Openstelling]],Tb_Openstelling[],2,0)=1,1,""),"")</f>
        <v/>
      </c>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25">
      <c r="A407" s="337"/>
      <c r="F407" s="79"/>
      <c r="G407" s="79"/>
      <c r="L407" s="71"/>
      <c r="N407" t="str">
        <f>IFERROR(IF(VLOOKUP(Tb_Activiteiten[[#This Row],[Openstelling]],Tb_Openstelling[],2,0)=1,1,""),"")</f>
        <v/>
      </c>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25">
      <c r="A408" s="337"/>
      <c r="F408" s="79"/>
      <c r="G408" s="79"/>
      <c r="L408" s="71"/>
      <c r="N408" t="str">
        <f>IFERROR(IF(VLOOKUP(Tb_Activiteiten[[#This Row],[Openstelling]],Tb_Openstelling[],2,0)=1,1,""),"")</f>
        <v/>
      </c>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25">
      <c r="A409" s="337"/>
      <c r="F409" s="79"/>
      <c r="G409" s="79"/>
      <c r="L409" s="71"/>
      <c r="N409" t="str">
        <f>IFERROR(IF(VLOOKUP(Tb_Activiteiten[[#This Row],[Openstelling]],Tb_Openstelling[],2,0)=1,1,""),"")</f>
        <v/>
      </c>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25">
      <c r="A410" s="337"/>
      <c r="F410" s="79"/>
      <c r="G410" s="79"/>
      <c r="L410" s="71"/>
      <c r="N410" t="str">
        <f>IFERROR(IF(VLOOKUP(Tb_Activiteiten[[#This Row],[Openstelling]],Tb_Openstelling[],2,0)=1,1,""),"")</f>
        <v/>
      </c>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25">
      <c r="A411" s="337"/>
      <c r="F411" s="79"/>
      <c r="G411" s="79"/>
      <c r="L411" s="71"/>
      <c r="N411" t="str">
        <f>IFERROR(IF(VLOOKUP(Tb_Activiteiten[[#This Row],[Openstelling]],Tb_Openstelling[],2,0)=1,1,""),"")</f>
        <v/>
      </c>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25">
      <c r="A412" s="337"/>
      <c r="F412" s="79"/>
      <c r="G412" s="79"/>
      <c r="L412" s="71"/>
      <c r="N412" t="str">
        <f>IFERROR(IF(VLOOKUP(Tb_Activiteiten[[#This Row],[Openstelling]],Tb_Openstelling[],2,0)=1,1,""),"")</f>
        <v/>
      </c>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25">
      <c r="A413" s="337"/>
      <c r="F413" s="79"/>
      <c r="G413" s="79"/>
      <c r="L413" s="71"/>
      <c r="N413" t="str">
        <f>IFERROR(IF(VLOOKUP(Tb_Activiteiten[[#This Row],[Openstelling]],Tb_Openstelling[],2,0)=1,1,""),"")</f>
        <v/>
      </c>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25">
      <c r="A414" s="337"/>
      <c r="F414" s="79"/>
      <c r="G414" s="79"/>
      <c r="L414" s="71"/>
      <c r="N414" t="str">
        <f>IFERROR(IF(VLOOKUP(Tb_Activiteiten[[#This Row],[Openstelling]],Tb_Openstelling[],2,0)=1,1,""),"")</f>
        <v/>
      </c>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25">
      <c r="A415" s="337"/>
      <c r="F415" s="79"/>
      <c r="G415" s="79"/>
      <c r="L415" s="71"/>
      <c r="N415" t="str">
        <f>IFERROR(IF(VLOOKUP(Tb_Activiteiten[[#This Row],[Openstelling]],Tb_Openstelling[],2,0)=1,1,""),"")</f>
        <v/>
      </c>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25">
      <c r="A416" s="337"/>
      <c r="F416" s="79"/>
      <c r="G416" s="79"/>
      <c r="L416" s="71"/>
      <c r="N416" t="str">
        <f>IFERROR(IF(VLOOKUP(Tb_Activiteiten[[#This Row],[Openstelling]],Tb_Openstelling[],2,0)=1,1,""),"")</f>
        <v/>
      </c>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25">
      <c r="A417" s="337"/>
      <c r="F417" s="79"/>
      <c r="G417" s="79"/>
      <c r="L417" s="71"/>
      <c r="N417" t="str">
        <f>IFERROR(IF(VLOOKUP(Tb_Activiteiten[[#This Row],[Openstelling]],Tb_Openstelling[],2,0)=1,1,""),"")</f>
        <v/>
      </c>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25">
      <c r="A418" s="337"/>
      <c r="F418" s="79"/>
      <c r="G418" s="79"/>
      <c r="L418" s="71"/>
      <c r="N418" t="str">
        <f>IFERROR(IF(VLOOKUP(Tb_Activiteiten[[#This Row],[Openstelling]],Tb_Openstelling[],2,0)=1,1,""),"")</f>
        <v/>
      </c>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25">
      <c r="A419" s="337"/>
      <c r="F419" s="79"/>
      <c r="G419" s="79"/>
      <c r="L419" s="71"/>
      <c r="N419" t="str">
        <f>IFERROR(IF(VLOOKUP(Tb_Activiteiten[[#This Row],[Openstelling]],Tb_Openstelling[],2,0)=1,1,""),"")</f>
        <v/>
      </c>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25">
      <c r="A420" s="337"/>
      <c r="F420" s="79"/>
      <c r="G420" s="79"/>
      <c r="L420" s="71"/>
      <c r="N420" t="str">
        <f>IFERROR(IF(VLOOKUP(Tb_Activiteiten[[#This Row],[Openstelling]],Tb_Openstelling[],2,0)=1,1,""),"")</f>
        <v/>
      </c>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25">
      <c r="A421" s="337"/>
      <c r="F421" s="79"/>
      <c r="G421" s="79"/>
      <c r="L421" s="71"/>
      <c r="N421" t="str">
        <f>IFERROR(IF(VLOOKUP(Tb_Activiteiten[[#This Row],[Openstelling]],Tb_Openstelling[],2,0)=1,1,""),"")</f>
        <v/>
      </c>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25">
      <c r="A422" s="337"/>
      <c r="F422" s="79"/>
      <c r="G422" s="79"/>
      <c r="L422" s="71"/>
      <c r="N422" t="str">
        <f>IFERROR(IF(VLOOKUP(Tb_Activiteiten[[#This Row],[Openstelling]],Tb_Openstelling[],2,0)=1,1,""),"")</f>
        <v/>
      </c>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25">
      <c r="A423" s="337"/>
      <c r="F423" s="79"/>
      <c r="G423" s="79"/>
      <c r="L423" s="71"/>
      <c r="N423" t="str">
        <f>IFERROR(IF(VLOOKUP(Tb_Activiteiten[[#This Row],[Openstelling]],Tb_Openstelling[],2,0)=1,1,""),"")</f>
        <v/>
      </c>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25">
      <c r="A424" s="337"/>
      <c r="F424" s="79"/>
      <c r="G424" s="79"/>
      <c r="L424" s="71"/>
      <c r="N424" t="str">
        <f>IFERROR(IF(VLOOKUP(Tb_Activiteiten[[#This Row],[Openstelling]],Tb_Openstelling[],2,0)=1,1,""),"")</f>
        <v/>
      </c>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25">
      <c r="A425" s="337"/>
      <c r="F425" s="79"/>
      <c r="G425" s="79"/>
      <c r="L425" s="71"/>
      <c r="N425" t="str">
        <f>IFERROR(IF(VLOOKUP(Tb_Activiteiten[[#This Row],[Openstelling]],Tb_Openstelling[],2,0)=1,1,""),"")</f>
        <v/>
      </c>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25">
      <c r="A426" s="337"/>
      <c r="F426" s="79"/>
      <c r="G426" s="79"/>
      <c r="L426" s="71"/>
      <c r="N426" t="str">
        <f>IFERROR(IF(VLOOKUP(Tb_Activiteiten[[#This Row],[Openstelling]],Tb_Openstelling[],2,0)=1,1,""),"")</f>
        <v/>
      </c>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25">
      <c r="A427" s="337"/>
      <c r="F427" s="79"/>
      <c r="G427" s="79"/>
      <c r="L427" s="71"/>
      <c r="N427" t="str">
        <f>IFERROR(IF(VLOOKUP(Tb_Activiteiten[[#This Row],[Openstelling]],Tb_Openstelling[],2,0)=1,1,""),"")</f>
        <v/>
      </c>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25">
      <c r="A428" s="337"/>
      <c r="F428" s="79"/>
      <c r="G428" s="79"/>
      <c r="L428" s="71"/>
      <c r="N428" t="str">
        <f>IFERROR(IF(VLOOKUP(Tb_Activiteiten[[#This Row],[Openstelling]],Tb_Openstelling[],2,0)=1,1,""),"")</f>
        <v/>
      </c>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25">
      <c r="A429" s="337"/>
      <c r="F429" s="79"/>
      <c r="G429" s="79"/>
      <c r="L429" s="71"/>
      <c r="N429" t="str">
        <f>IFERROR(IF(VLOOKUP(Tb_Activiteiten[[#This Row],[Openstelling]],Tb_Openstelling[],2,0)=1,1,""),"")</f>
        <v/>
      </c>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25">
      <c r="A430" s="337"/>
      <c r="F430" s="79"/>
      <c r="G430" s="79"/>
      <c r="L430" s="71"/>
      <c r="N430" t="str">
        <f>IFERROR(IF(VLOOKUP(Tb_Activiteiten[[#This Row],[Openstelling]],Tb_Openstelling[],2,0)=1,1,""),"")</f>
        <v/>
      </c>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25">
      <c r="A431" s="337"/>
      <c r="F431" s="79"/>
      <c r="G431" s="79"/>
      <c r="L431" s="71"/>
      <c r="N431" t="str">
        <f>IFERROR(IF(VLOOKUP(Tb_Activiteiten[[#This Row],[Openstelling]],Tb_Openstelling[],2,0)=1,1,""),"")</f>
        <v/>
      </c>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25">
      <c r="A432" s="337"/>
      <c r="F432" s="79"/>
      <c r="G432" s="79"/>
      <c r="L432" s="71"/>
      <c r="N432" t="str">
        <f>IFERROR(IF(VLOOKUP(Tb_Activiteiten[[#This Row],[Openstelling]],Tb_Openstelling[],2,0)=1,1,""),"")</f>
        <v/>
      </c>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25">
      <c r="A433" s="337"/>
      <c r="F433" s="79"/>
      <c r="G433" s="79"/>
      <c r="L433" s="71"/>
      <c r="N433" t="str">
        <f>IFERROR(IF(VLOOKUP(Tb_Activiteiten[[#This Row],[Openstelling]],Tb_Openstelling[],2,0)=1,1,""),"")</f>
        <v/>
      </c>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25">
      <c r="A434" s="337"/>
      <c r="F434" s="79"/>
      <c r="G434" s="79"/>
      <c r="L434" s="71"/>
      <c r="N434" t="str">
        <f>IFERROR(IF(VLOOKUP(Tb_Activiteiten[[#This Row],[Openstelling]],Tb_Openstelling[],2,0)=1,1,""),"")</f>
        <v/>
      </c>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25">
      <c r="A435" s="337"/>
      <c r="F435" s="79"/>
      <c r="G435" s="79"/>
      <c r="L435" s="71"/>
      <c r="N435" t="str">
        <f>IFERROR(IF(VLOOKUP(Tb_Activiteiten[[#This Row],[Openstelling]],Tb_Openstelling[],2,0)=1,1,""),"")</f>
        <v/>
      </c>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25">
      <c r="A436" s="337"/>
      <c r="F436" s="79"/>
      <c r="G436" s="79"/>
      <c r="L436" s="71"/>
      <c r="N436" t="str">
        <f>IFERROR(IF(VLOOKUP(Tb_Activiteiten[[#This Row],[Openstelling]],Tb_Openstelling[],2,0)=1,1,""),"")</f>
        <v/>
      </c>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25">
      <c r="A437" s="337"/>
      <c r="F437" s="79"/>
      <c r="G437" s="79"/>
      <c r="L437" s="71"/>
      <c r="N437" t="str">
        <f>IFERROR(IF(VLOOKUP(Tb_Activiteiten[[#This Row],[Openstelling]],Tb_Openstelling[],2,0)=1,1,""),"")</f>
        <v/>
      </c>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25">
      <c r="A438" s="337"/>
      <c r="F438" s="79"/>
      <c r="G438" s="79"/>
      <c r="L438" s="71"/>
      <c r="N438" t="str">
        <f>IFERROR(IF(VLOOKUP(Tb_Activiteiten[[#This Row],[Openstelling]],Tb_Openstelling[],2,0)=1,1,""),"")</f>
        <v/>
      </c>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25">
      <c r="A439" s="337"/>
      <c r="F439" s="79"/>
      <c r="G439" s="79"/>
      <c r="L439" s="71"/>
      <c r="N439" t="str">
        <f>IFERROR(IF(VLOOKUP(Tb_Activiteiten[[#This Row],[Openstelling]],Tb_Openstelling[],2,0)=1,1,""),"")</f>
        <v/>
      </c>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25">
      <c r="A440" s="337"/>
      <c r="F440" s="79"/>
      <c r="G440" s="79"/>
      <c r="L440" s="71"/>
      <c r="N440" t="str">
        <f>IFERROR(IF(VLOOKUP(Tb_Activiteiten[[#This Row],[Openstelling]],Tb_Openstelling[],2,0)=1,1,""),"")</f>
        <v/>
      </c>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25">
      <c r="A441" s="337"/>
      <c r="F441" s="79"/>
      <c r="G441" s="79"/>
      <c r="L441" s="71"/>
      <c r="N441" t="str">
        <f>IFERROR(IF(VLOOKUP(Tb_Activiteiten[[#This Row],[Openstelling]],Tb_Openstelling[],2,0)=1,1,""),"")</f>
        <v/>
      </c>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25">
      <c r="A442" s="337"/>
      <c r="F442" s="79"/>
      <c r="G442" s="79"/>
      <c r="L442" s="71"/>
      <c r="N442" t="str">
        <f>IFERROR(IF(VLOOKUP(Tb_Activiteiten[[#This Row],[Openstelling]],Tb_Openstelling[],2,0)=1,1,""),"")</f>
        <v/>
      </c>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25">
      <c r="A443" s="337"/>
      <c r="F443" s="79"/>
      <c r="G443" s="79"/>
      <c r="L443" s="71"/>
      <c r="N443" t="str">
        <f>IFERROR(IF(VLOOKUP(Tb_Activiteiten[[#This Row],[Openstelling]],Tb_Openstelling[],2,0)=1,1,""),"")</f>
        <v/>
      </c>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25">
      <c r="A444" s="337"/>
      <c r="F444" s="79"/>
      <c r="G444" s="79"/>
      <c r="L444" s="71"/>
      <c r="N444" t="str">
        <f>IFERROR(IF(VLOOKUP(Tb_Activiteiten[[#This Row],[Openstelling]],Tb_Openstelling[],2,0)=1,1,""),"")</f>
        <v/>
      </c>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25">
      <c r="A445" s="337"/>
      <c r="F445" s="79"/>
      <c r="G445" s="79"/>
      <c r="L445" s="71"/>
      <c r="N445" t="str">
        <f>IFERROR(IF(VLOOKUP(Tb_Activiteiten[[#This Row],[Openstelling]],Tb_Openstelling[],2,0)=1,1,""),"")</f>
        <v/>
      </c>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25">
      <c r="A446" s="337"/>
      <c r="F446" s="79"/>
      <c r="G446" s="79"/>
      <c r="L446" s="71"/>
      <c r="N446" t="str">
        <f>IFERROR(IF(VLOOKUP(Tb_Activiteiten[[#This Row],[Openstelling]],Tb_Openstelling[],2,0)=1,1,""),"")</f>
        <v/>
      </c>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25">
      <c r="A447" s="337"/>
      <c r="F447" s="79"/>
      <c r="G447" s="79"/>
      <c r="L447" s="71"/>
      <c r="N447" t="str">
        <f>IFERROR(IF(VLOOKUP(Tb_Activiteiten[[#This Row],[Openstelling]],Tb_Openstelling[],2,0)=1,1,""),"")</f>
        <v/>
      </c>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25">
      <c r="A448" s="337"/>
      <c r="F448" s="79"/>
      <c r="G448" s="79"/>
      <c r="L448" s="71"/>
      <c r="N448" t="str">
        <f>IFERROR(IF(VLOOKUP(Tb_Activiteiten[[#This Row],[Openstelling]],Tb_Openstelling[],2,0)=1,1,""),"")</f>
        <v/>
      </c>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25">
      <c r="A449" s="337"/>
      <c r="F449" s="79"/>
      <c r="G449" s="79"/>
      <c r="L449" s="71"/>
      <c r="N449" t="str">
        <f>IFERROR(IF(VLOOKUP(Tb_Activiteiten[[#This Row],[Openstelling]],Tb_Openstelling[],2,0)=1,1,""),"")</f>
        <v/>
      </c>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25">
      <c r="A450" s="337"/>
      <c r="F450" s="79"/>
      <c r="G450" s="79"/>
      <c r="L450" s="71"/>
      <c r="N450" t="str">
        <f>IFERROR(IF(VLOOKUP(Tb_Activiteiten[[#This Row],[Openstelling]],Tb_Openstelling[],2,0)=1,1,""),"")</f>
        <v/>
      </c>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25">
      <c r="A451" s="337"/>
      <c r="F451" s="79"/>
      <c r="G451" s="79"/>
      <c r="L451" s="71"/>
      <c r="N451" t="str">
        <f>IFERROR(IF(VLOOKUP(Tb_Activiteiten[[#This Row],[Openstelling]],Tb_Openstelling[],2,0)=1,1,""),"")</f>
        <v/>
      </c>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25">
      <c r="A452" s="337"/>
      <c r="F452" s="79"/>
      <c r="G452" s="79"/>
      <c r="L452" s="71"/>
      <c r="N452" t="str">
        <f>IFERROR(IF(VLOOKUP(Tb_Activiteiten[[#This Row],[Openstelling]],Tb_Openstelling[],2,0)=1,1,""),"")</f>
        <v/>
      </c>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25">
      <c r="A453" s="337"/>
      <c r="F453" s="79"/>
      <c r="G453" s="79"/>
      <c r="L453" s="71"/>
      <c r="N453" t="str">
        <f>IFERROR(IF(VLOOKUP(Tb_Activiteiten[[#This Row],[Openstelling]],Tb_Openstelling[],2,0)=1,1,""),"")</f>
        <v/>
      </c>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25">
      <c r="A454" s="337"/>
      <c r="F454" s="79"/>
      <c r="G454" s="79"/>
      <c r="L454" s="71"/>
      <c r="N454" t="str">
        <f>IFERROR(IF(VLOOKUP(Tb_Activiteiten[[#This Row],[Openstelling]],Tb_Openstelling[],2,0)=1,1,""),"")</f>
        <v/>
      </c>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25">
      <c r="A455" s="337"/>
      <c r="F455" s="79"/>
      <c r="G455" s="79"/>
      <c r="L455" s="71"/>
      <c r="N455" t="str">
        <f>IFERROR(IF(VLOOKUP(Tb_Activiteiten[[#This Row],[Openstelling]],Tb_Openstelling[],2,0)=1,1,""),"")</f>
        <v/>
      </c>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25">
      <c r="A456" s="337"/>
      <c r="F456" s="79"/>
      <c r="G456" s="79"/>
      <c r="L456" s="71"/>
      <c r="N456" t="str">
        <f>IFERROR(IF(VLOOKUP(Tb_Activiteiten[[#This Row],[Openstelling]],Tb_Openstelling[],2,0)=1,1,""),"")</f>
        <v/>
      </c>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25">
      <c r="A457" s="337"/>
      <c r="F457" s="79"/>
      <c r="G457" s="79"/>
      <c r="L457" s="71"/>
      <c r="N457" t="str">
        <f>IFERROR(IF(VLOOKUP(Tb_Activiteiten[[#This Row],[Openstelling]],Tb_Openstelling[],2,0)=1,1,""),"")</f>
        <v/>
      </c>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25">
      <c r="A458" s="337"/>
      <c r="F458" s="79"/>
      <c r="G458" s="79"/>
      <c r="L458" s="71"/>
      <c r="N458" t="str">
        <f>IFERROR(IF(VLOOKUP(Tb_Activiteiten[[#This Row],[Openstelling]],Tb_Openstelling[],2,0)=1,1,""),"")</f>
        <v/>
      </c>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25">
      <c r="A459" s="337"/>
      <c r="F459" s="79"/>
      <c r="G459" s="79"/>
      <c r="L459" s="71"/>
      <c r="N459" t="str">
        <f>IFERROR(IF(VLOOKUP(Tb_Activiteiten[[#This Row],[Openstelling]],Tb_Openstelling[],2,0)=1,1,""),"")</f>
        <v/>
      </c>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25">
      <c r="A460" s="337"/>
      <c r="F460" s="79"/>
      <c r="G460" s="79"/>
      <c r="L460" s="71"/>
      <c r="N460" t="str">
        <f>IFERROR(IF(VLOOKUP(Tb_Activiteiten[[#This Row],[Openstelling]],Tb_Openstelling[],2,0)=1,1,""),"")</f>
        <v/>
      </c>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25">
      <c r="A461" s="337"/>
      <c r="F461" s="79"/>
      <c r="G461" s="79"/>
      <c r="L461" s="71"/>
      <c r="N461" t="str">
        <f>IFERROR(IF(VLOOKUP(Tb_Activiteiten[[#This Row],[Openstelling]],Tb_Openstelling[],2,0)=1,1,""),"")</f>
        <v/>
      </c>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25">
      <c r="A462" s="337"/>
      <c r="F462" s="79"/>
      <c r="G462" s="79"/>
      <c r="L462" s="71"/>
      <c r="N462" t="str">
        <f>IFERROR(IF(VLOOKUP(Tb_Activiteiten[[#This Row],[Openstelling]],Tb_Openstelling[],2,0)=1,1,""),"")</f>
        <v/>
      </c>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25">
      <c r="A463" s="337"/>
      <c r="F463" s="79"/>
      <c r="G463" s="79"/>
      <c r="L463" s="71"/>
      <c r="N463" t="str">
        <f>IFERROR(IF(VLOOKUP(Tb_Activiteiten[[#This Row],[Openstelling]],Tb_Openstelling[],2,0)=1,1,""),"")</f>
        <v/>
      </c>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25">
      <c r="A464" s="337"/>
      <c r="F464" s="79"/>
      <c r="G464" s="79"/>
      <c r="L464" s="71"/>
      <c r="N464" t="str">
        <f>IFERROR(IF(VLOOKUP(Tb_Activiteiten[[#This Row],[Openstelling]],Tb_Openstelling[],2,0)=1,1,""),"")</f>
        <v/>
      </c>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25">
      <c r="A465" s="337"/>
      <c r="F465" s="79"/>
      <c r="G465" s="79"/>
      <c r="L465" s="71"/>
      <c r="N465" t="str">
        <f>IFERROR(IF(VLOOKUP(Tb_Activiteiten[[#This Row],[Openstelling]],Tb_Openstelling[],2,0)=1,1,""),"")</f>
        <v/>
      </c>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25">
      <c r="A466" s="337"/>
      <c r="F466" s="79"/>
      <c r="G466" s="79"/>
      <c r="L466" s="71"/>
      <c r="N466" t="str">
        <f>IFERROR(IF(VLOOKUP(Tb_Activiteiten[[#This Row],[Openstelling]],Tb_Openstelling[],2,0)=1,1,""),"")</f>
        <v/>
      </c>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25">
      <c r="A467" s="337"/>
      <c r="F467" s="79"/>
      <c r="G467" s="79"/>
      <c r="L467" s="71"/>
      <c r="N467" t="str">
        <f>IFERROR(IF(VLOOKUP(Tb_Activiteiten[[#This Row],[Openstelling]],Tb_Openstelling[],2,0)=1,1,""),"")</f>
        <v/>
      </c>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25">
      <c r="A468" s="337"/>
      <c r="F468" s="79"/>
      <c r="G468" s="79"/>
      <c r="L468" s="71"/>
      <c r="N468" t="str">
        <f>IFERROR(IF(VLOOKUP(Tb_Activiteiten[[#This Row],[Openstelling]],Tb_Openstelling[],2,0)=1,1,""),"")</f>
        <v/>
      </c>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25">
      <c r="A469" s="337"/>
      <c r="F469" s="79"/>
      <c r="G469" s="79"/>
      <c r="L469" s="71"/>
      <c r="N469" t="str">
        <f>IFERROR(IF(VLOOKUP(Tb_Activiteiten[[#This Row],[Openstelling]],Tb_Openstelling[],2,0)=1,1,""),"")</f>
        <v/>
      </c>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25">
      <c r="A470" s="337"/>
      <c r="F470" s="79"/>
      <c r="G470" s="79"/>
      <c r="L470" s="71"/>
      <c r="N470" t="str">
        <f>IFERROR(IF(VLOOKUP(Tb_Activiteiten[[#This Row],[Openstelling]],Tb_Openstelling[],2,0)=1,1,""),"")</f>
        <v/>
      </c>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25">
      <c r="A471" s="337"/>
      <c r="F471" s="79"/>
      <c r="G471" s="79"/>
      <c r="L471" s="71"/>
      <c r="N471" t="str">
        <f>IFERROR(IF(VLOOKUP(Tb_Activiteiten[[#This Row],[Openstelling]],Tb_Openstelling[],2,0)=1,1,""),"")</f>
        <v/>
      </c>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25">
      <c r="A472" s="337"/>
      <c r="F472" s="79"/>
      <c r="G472" s="79"/>
      <c r="L472" s="71"/>
      <c r="N472" t="str">
        <f>IFERROR(IF(VLOOKUP(Tb_Activiteiten[[#This Row],[Openstelling]],Tb_Openstelling[],2,0)=1,1,""),"")</f>
        <v/>
      </c>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25">
      <c r="A473" s="337"/>
      <c r="F473" s="79"/>
      <c r="G473" s="79"/>
      <c r="L473" s="71"/>
      <c r="N473" t="str">
        <f>IFERROR(IF(VLOOKUP(Tb_Activiteiten[[#This Row],[Openstelling]],Tb_Openstelling[],2,0)=1,1,""),"")</f>
        <v/>
      </c>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25">
      <c r="A474" s="337"/>
      <c r="F474" s="79"/>
      <c r="G474" s="79"/>
      <c r="L474" s="71"/>
      <c r="N474" t="str">
        <f>IFERROR(IF(VLOOKUP(Tb_Activiteiten[[#This Row],[Openstelling]],Tb_Openstelling[],2,0)=1,1,""),"")</f>
        <v/>
      </c>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25">
      <c r="A475" s="337"/>
      <c r="F475" s="79"/>
      <c r="G475" s="79"/>
      <c r="L475" s="71"/>
      <c r="N475" t="str">
        <f>IFERROR(IF(VLOOKUP(Tb_Activiteiten[[#This Row],[Openstelling]],Tb_Openstelling[],2,0)=1,1,""),"")</f>
        <v/>
      </c>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25">
      <c r="A476" s="337"/>
      <c r="F476" s="79"/>
      <c r="G476" s="79"/>
      <c r="L476" s="71"/>
      <c r="N476" t="str">
        <f>IFERROR(IF(VLOOKUP(Tb_Activiteiten[[#This Row],[Openstelling]],Tb_Openstelling[],2,0)=1,1,""),"")</f>
        <v/>
      </c>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25">
      <c r="A477" s="337"/>
      <c r="F477" s="79"/>
      <c r="G477" s="79"/>
      <c r="L477" s="71"/>
      <c r="N477" t="str">
        <f>IFERROR(IF(VLOOKUP(Tb_Activiteiten[[#This Row],[Openstelling]],Tb_Openstelling[],2,0)=1,1,""),"")</f>
        <v/>
      </c>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25">
      <c r="A478" s="337"/>
      <c r="F478" s="79"/>
      <c r="G478" s="79"/>
      <c r="L478" s="71"/>
      <c r="N478" t="str">
        <f>IFERROR(IF(VLOOKUP(Tb_Activiteiten[[#This Row],[Openstelling]],Tb_Openstelling[],2,0)=1,1,""),"")</f>
        <v/>
      </c>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25">
      <c r="A479" s="337"/>
      <c r="F479" s="79"/>
      <c r="G479" s="79"/>
      <c r="L479" s="71"/>
      <c r="N479" t="str">
        <f>IFERROR(IF(VLOOKUP(Tb_Activiteiten[[#This Row],[Openstelling]],Tb_Openstelling[],2,0)=1,1,""),"")</f>
        <v/>
      </c>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25">
      <c r="A480" s="337"/>
      <c r="F480" s="79"/>
      <c r="G480" s="79"/>
      <c r="L480" s="71"/>
      <c r="N480" t="str">
        <f>IFERROR(IF(VLOOKUP(Tb_Activiteiten[[#This Row],[Openstelling]],Tb_Openstelling[],2,0)=1,1,""),"")</f>
        <v/>
      </c>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25">
      <c r="A481" s="337"/>
      <c r="F481" s="79"/>
      <c r="G481" s="79"/>
      <c r="L481" s="71"/>
      <c r="N481" t="str">
        <f>IFERROR(IF(VLOOKUP(Tb_Activiteiten[[#This Row],[Openstelling]],Tb_Openstelling[],2,0)=1,1,""),"")</f>
        <v/>
      </c>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25">
      <c r="A482" s="337"/>
      <c r="F482" s="79"/>
      <c r="G482" s="79"/>
      <c r="L482" s="71"/>
      <c r="N482" t="str">
        <f>IFERROR(IF(VLOOKUP(Tb_Activiteiten[[#This Row],[Openstelling]],Tb_Openstelling[],2,0)=1,1,""),"")</f>
        <v/>
      </c>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25">
      <c r="A483" s="337"/>
      <c r="F483" s="79"/>
      <c r="G483" s="79"/>
      <c r="L483" s="71"/>
      <c r="N483" t="str">
        <f>IFERROR(IF(VLOOKUP(Tb_Activiteiten[[#This Row],[Openstelling]],Tb_Openstelling[],2,0)=1,1,""),"")</f>
        <v/>
      </c>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25">
      <c r="A484" s="337"/>
      <c r="F484" s="79"/>
      <c r="G484" s="79"/>
      <c r="L484" s="71"/>
      <c r="N484" t="str">
        <f>IFERROR(IF(VLOOKUP(Tb_Activiteiten[[#This Row],[Openstelling]],Tb_Openstelling[],2,0)=1,1,""),"")</f>
        <v/>
      </c>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25">
      <c r="A485" s="337"/>
      <c r="F485" s="79"/>
      <c r="G485" s="79"/>
      <c r="L485" s="71"/>
      <c r="N485" t="str">
        <f>IFERROR(IF(VLOOKUP(Tb_Activiteiten[[#This Row],[Openstelling]],Tb_Openstelling[],2,0)=1,1,""),"")</f>
        <v/>
      </c>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25">
      <c r="A486" s="337"/>
      <c r="F486" s="79"/>
      <c r="G486" s="79"/>
      <c r="L486" s="71"/>
      <c r="N486" t="str">
        <f>IFERROR(IF(VLOOKUP(Tb_Activiteiten[[#This Row],[Openstelling]],Tb_Openstelling[],2,0)=1,1,""),"")</f>
        <v/>
      </c>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25">
      <c r="A487" s="337"/>
      <c r="F487" s="79"/>
      <c r="G487" s="79"/>
      <c r="L487" s="71"/>
      <c r="N487" t="str">
        <f>IFERROR(IF(VLOOKUP(Tb_Activiteiten[[#This Row],[Openstelling]],Tb_Openstelling[],2,0)=1,1,""),"")</f>
        <v/>
      </c>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25">
      <c r="A488" s="337"/>
      <c r="F488" s="79"/>
      <c r="G488" s="79"/>
      <c r="L488" s="71"/>
      <c r="N488" t="str">
        <f>IFERROR(IF(VLOOKUP(Tb_Activiteiten[[#This Row],[Openstelling]],Tb_Openstelling[],2,0)=1,1,""),"")</f>
        <v/>
      </c>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25">
      <c r="A489" s="337"/>
      <c r="F489" s="79"/>
      <c r="G489" s="79"/>
      <c r="L489" s="71"/>
      <c r="N489" t="str">
        <f>IFERROR(IF(VLOOKUP(Tb_Activiteiten[[#This Row],[Openstelling]],Tb_Openstelling[],2,0)=1,1,""),"")</f>
        <v/>
      </c>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25">
      <c r="A490" s="337"/>
      <c r="F490" s="79"/>
      <c r="G490" s="79"/>
      <c r="L490" s="71"/>
      <c r="N490" t="str">
        <f>IFERROR(IF(VLOOKUP(Tb_Activiteiten[[#This Row],[Openstelling]],Tb_Openstelling[],2,0)=1,1,""),"")</f>
        <v/>
      </c>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25">
      <c r="A491" s="337"/>
      <c r="F491" s="79"/>
      <c r="G491" s="79"/>
      <c r="L491" s="71"/>
      <c r="N491" t="str">
        <f>IFERROR(IF(VLOOKUP(Tb_Activiteiten[[#This Row],[Openstelling]],Tb_Openstelling[],2,0)=1,1,""),"")</f>
        <v/>
      </c>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25">
      <c r="A492" s="337"/>
      <c r="F492" s="79"/>
      <c r="G492" s="79"/>
      <c r="L492" s="71"/>
      <c r="N492" t="str">
        <f>IFERROR(IF(VLOOKUP(Tb_Activiteiten[[#This Row],[Openstelling]],Tb_Openstelling[],2,0)=1,1,""),"")</f>
        <v/>
      </c>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25">
      <c r="A493" s="337"/>
      <c r="F493" s="79"/>
      <c r="G493" s="79"/>
      <c r="L493" s="71"/>
      <c r="N493" t="str">
        <f>IFERROR(IF(VLOOKUP(Tb_Activiteiten[[#This Row],[Openstelling]],Tb_Openstelling[],2,0)=1,1,""),"")</f>
        <v/>
      </c>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25">
      <c r="A494" s="337"/>
      <c r="F494" s="79"/>
      <c r="G494" s="79"/>
      <c r="L494" s="71"/>
      <c r="N494" t="str">
        <f>IFERROR(IF(VLOOKUP(Tb_Activiteiten[[#This Row],[Openstelling]],Tb_Openstelling[],2,0)=1,1,""),"")</f>
        <v/>
      </c>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25">
      <c r="A495" s="337"/>
      <c r="F495" s="79"/>
      <c r="G495" s="79"/>
      <c r="L495" s="71"/>
      <c r="N495" t="str">
        <f>IFERROR(IF(VLOOKUP(Tb_Activiteiten[[#This Row],[Openstelling]],Tb_Openstelling[],2,0)=1,1,""),"")</f>
        <v/>
      </c>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25">
      <c r="A496" s="337"/>
      <c r="F496" s="79"/>
      <c r="G496" s="79"/>
      <c r="L496" s="71"/>
      <c r="N496" t="str">
        <f>IFERROR(IF(VLOOKUP(Tb_Activiteiten[[#This Row],[Openstelling]],Tb_Openstelling[],2,0)=1,1,""),"")</f>
        <v/>
      </c>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25">
      <c r="A497" s="337"/>
      <c r="F497" s="79"/>
      <c r="G497" s="79"/>
      <c r="L497" s="71"/>
      <c r="N497" t="str">
        <f>IFERROR(IF(VLOOKUP(Tb_Activiteiten[[#This Row],[Openstelling]],Tb_Openstelling[],2,0)=1,1,""),"")</f>
        <v/>
      </c>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25">
      <c r="A498" s="337"/>
      <c r="F498" s="79"/>
      <c r="G498" s="79"/>
      <c r="L498" s="71"/>
      <c r="N498" t="str">
        <f>IFERROR(IF(VLOOKUP(Tb_Activiteiten[[#This Row],[Openstelling]],Tb_Openstelling[],2,0)=1,1,""),"")</f>
        <v/>
      </c>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25">
      <c r="A499" s="337"/>
      <c r="F499" s="79"/>
      <c r="G499" s="79"/>
      <c r="L499" s="71"/>
      <c r="N499" t="str">
        <f>IFERROR(IF(VLOOKUP(Tb_Activiteiten[[#This Row],[Openstelling]],Tb_Openstelling[],2,0)=1,1,""),"")</f>
        <v/>
      </c>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25">
      <c r="A500" s="337"/>
      <c r="F500" s="79"/>
      <c r="G500" s="79"/>
      <c r="L500" s="71"/>
      <c r="N500" t="str">
        <f>IFERROR(IF(VLOOKUP(Tb_Activiteiten[[#This Row],[Openstelling]],Tb_Openstelling[],2,0)=1,1,""),"")</f>
        <v/>
      </c>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25">
      <c r="A501" s="337"/>
      <c r="F501" s="79"/>
      <c r="G501" s="79"/>
      <c r="L501" s="71"/>
      <c r="N501" t="str">
        <f>IFERROR(IF(VLOOKUP(Tb_Activiteiten[[#This Row],[Openstelling]],Tb_Openstelling[],2,0)=1,1,""),"")</f>
        <v/>
      </c>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25">
      <c r="A502" s="337"/>
      <c r="F502" s="79"/>
      <c r="G502" s="79"/>
      <c r="L502" s="71"/>
      <c r="N502" t="str">
        <f>IFERROR(IF(VLOOKUP(Tb_Activiteiten[[#This Row],[Openstelling]],Tb_Openstelling[],2,0)=1,1,""),"")</f>
        <v/>
      </c>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25">
      <c r="A503" s="337"/>
      <c r="F503" s="79"/>
      <c r="G503" s="79"/>
      <c r="L503" s="71"/>
      <c r="N503" t="str">
        <f>IFERROR(IF(VLOOKUP(Tb_Activiteiten[[#This Row],[Openstelling]],Tb_Openstelling[],2,0)=1,1,""),"")</f>
        <v/>
      </c>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25">
      <c r="A504" s="337"/>
      <c r="F504" s="79"/>
      <c r="G504" s="79"/>
      <c r="L504" s="71"/>
      <c r="N504" t="str">
        <f>IFERROR(IF(VLOOKUP(Tb_Activiteiten[[#This Row],[Openstelling]],Tb_Openstelling[],2,0)=1,1,""),"")</f>
        <v/>
      </c>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25">
      <c r="A505" s="337"/>
      <c r="F505" s="79"/>
      <c r="G505" s="79"/>
      <c r="L505" s="71"/>
      <c r="N505" t="str">
        <f>IFERROR(IF(VLOOKUP(Tb_Activiteiten[[#This Row],[Openstelling]],Tb_Openstelling[],2,0)=1,1,""),"")</f>
        <v/>
      </c>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25">
      <c r="A506" s="337"/>
      <c r="F506" s="79"/>
      <c r="G506" s="79"/>
      <c r="L506" s="71"/>
      <c r="N506" t="str">
        <f>IFERROR(IF(VLOOKUP(Tb_Activiteiten[[#This Row],[Openstelling]],Tb_Openstelling[],2,0)=1,1,""),"")</f>
        <v/>
      </c>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25">
      <c r="A507" s="337"/>
      <c r="F507" s="79"/>
      <c r="G507" s="79"/>
      <c r="L507" s="71"/>
      <c r="N507" t="str">
        <f>IFERROR(IF(VLOOKUP(Tb_Activiteiten[[#This Row],[Openstelling]],Tb_Openstelling[],2,0)=1,1,""),"")</f>
        <v/>
      </c>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25">
      <c r="A508" s="337"/>
      <c r="F508" s="79"/>
      <c r="G508" s="79"/>
      <c r="L508" s="71"/>
      <c r="N508" t="str">
        <f>IFERROR(IF(VLOOKUP(Tb_Activiteiten[[#This Row],[Openstelling]],Tb_Openstelling[],2,0)=1,1,""),"")</f>
        <v/>
      </c>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25">
      <c r="A509" s="337"/>
      <c r="F509" s="79"/>
      <c r="G509" s="79"/>
      <c r="L509" s="71"/>
      <c r="N509" t="str">
        <f>IFERROR(IF(VLOOKUP(Tb_Activiteiten[[#This Row],[Openstelling]],Tb_Openstelling[],2,0)=1,1,""),"")</f>
        <v/>
      </c>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25">
      <c r="A510" s="337"/>
      <c r="F510" s="79"/>
      <c r="G510" s="79"/>
      <c r="L510" s="71"/>
      <c r="N510" t="str">
        <f>IFERROR(IF(VLOOKUP(Tb_Activiteiten[[#This Row],[Openstelling]],Tb_Openstelling[],2,0)=1,1,""),"")</f>
        <v/>
      </c>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25">
      <c r="A511" s="337"/>
      <c r="F511" s="79"/>
      <c r="G511" s="79"/>
      <c r="L511" s="71"/>
      <c r="N511" t="str">
        <f>IFERROR(IF(VLOOKUP(Tb_Activiteiten[[#This Row],[Openstelling]],Tb_Openstelling[],2,0)=1,1,""),"")</f>
        <v/>
      </c>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25">
      <c r="A512" s="337"/>
      <c r="F512" s="79"/>
      <c r="G512" s="79"/>
      <c r="L512" s="71"/>
      <c r="N512" t="str">
        <f>IFERROR(IF(VLOOKUP(Tb_Activiteiten[[#This Row],[Openstelling]],Tb_Openstelling[],2,0)=1,1,""),"")</f>
        <v/>
      </c>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25">
      <c r="A513" s="337"/>
      <c r="F513" s="79"/>
      <c r="G513" s="79"/>
      <c r="L513" s="71"/>
      <c r="N513" t="str">
        <f>IFERROR(IF(VLOOKUP(Tb_Activiteiten[[#This Row],[Openstelling]],Tb_Openstelling[],2,0)=1,1,""),"")</f>
        <v/>
      </c>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25">
      <c r="A514" s="337"/>
      <c r="F514" s="79"/>
      <c r="G514" s="79"/>
      <c r="L514" s="71"/>
      <c r="N514" t="str">
        <f>IFERROR(IF(VLOOKUP(Tb_Activiteiten[[#This Row],[Openstelling]],Tb_Openstelling[],2,0)=1,1,""),"")</f>
        <v/>
      </c>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25">
      <c r="A515" s="337"/>
      <c r="F515" s="79"/>
      <c r="G515" s="79"/>
      <c r="L515" s="71"/>
      <c r="N515" t="str">
        <f>IFERROR(IF(VLOOKUP(Tb_Activiteiten[[#This Row],[Openstelling]],Tb_Openstelling[],2,0)=1,1,""),"")</f>
        <v/>
      </c>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25">
      <c r="A516" s="337"/>
      <c r="F516" s="79"/>
      <c r="G516" s="79"/>
      <c r="L516" s="71"/>
      <c r="N516" t="str">
        <f>IFERROR(IF(VLOOKUP(Tb_Activiteiten[[#This Row],[Openstelling]],Tb_Openstelling[],2,0)=1,1,""),"")</f>
        <v/>
      </c>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25">
      <c r="A517" s="337"/>
      <c r="F517" s="79"/>
      <c r="G517" s="79"/>
      <c r="L517" s="71"/>
      <c r="N517" t="str">
        <f>IFERROR(IF(VLOOKUP(Tb_Activiteiten[[#This Row],[Openstelling]],Tb_Openstelling[],2,0)=1,1,""),"")</f>
        <v/>
      </c>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25">
      <c r="A518" s="337"/>
      <c r="F518" s="79"/>
      <c r="G518" s="79"/>
      <c r="L518" s="71"/>
      <c r="N518" t="str">
        <f>IFERROR(IF(VLOOKUP(Tb_Activiteiten[[#This Row],[Openstelling]],Tb_Openstelling[],2,0)=1,1,""),"")</f>
        <v/>
      </c>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25">
      <c r="A519" s="337"/>
      <c r="F519" s="79"/>
      <c r="G519" s="79"/>
      <c r="L519" s="71"/>
      <c r="N519" t="str">
        <f>IFERROR(IF(VLOOKUP(Tb_Activiteiten[[#This Row],[Openstelling]],Tb_Openstelling[],2,0)=1,1,""),"")</f>
        <v/>
      </c>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25">
      <c r="A520" s="337"/>
      <c r="F520" s="79"/>
      <c r="G520" s="79"/>
      <c r="L520" s="71"/>
      <c r="N520" t="str">
        <f>IFERROR(IF(VLOOKUP(Tb_Activiteiten[[#This Row],[Openstelling]],Tb_Openstelling[],2,0)=1,1,""),"")</f>
        <v/>
      </c>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25">
      <c r="A521" s="337"/>
      <c r="F521" s="79"/>
      <c r="G521" s="79"/>
      <c r="L521" s="71"/>
      <c r="N521" t="str">
        <f>IFERROR(IF(VLOOKUP(Tb_Activiteiten[[#This Row],[Openstelling]],Tb_Openstelling[],2,0)=1,1,""),"")</f>
        <v/>
      </c>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25">
      <c r="A522" s="337"/>
      <c r="F522" s="79"/>
      <c r="G522" s="79"/>
      <c r="L522" s="71"/>
      <c r="N522" t="str">
        <f>IFERROR(IF(VLOOKUP(Tb_Activiteiten[[#This Row],[Openstelling]],Tb_Openstelling[],2,0)=1,1,""),"")</f>
        <v/>
      </c>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25">
      <c r="A523" s="337"/>
      <c r="F523" s="79"/>
      <c r="G523" s="79"/>
      <c r="L523" s="71"/>
      <c r="N523" t="str">
        <f>IFERROR(IF(VLOOKUP(Tb_Activiteiten[[#This Row],[Openstelling]],Tb_Openstelling[],2,0)=1,1,""),"")</f>
        <v/>
      </c>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25">
      <c r="A524" s="337"/>
      <c r="F524" s="79"/>
      <c r="G524" s="79"/>
      <c r="L524" s="71"/>
      <c r="N524" t="str">
        <f>IFERROR(IF(VLOOKUP(Tb_Activiteiten[[#This Row],[Openstelling]],Tb_Openstelling[],2,0)=1,1,""),"")</f>
        <v/>
      </c>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25">
      <c r="A525" s="337"/>
      <c r="F525" s="79"/>
      <c r="G525" s="79"/>
      <c r="L525" s="71"/>
      <c r="N525" t="str">
        <f>IFERROR(IF(VLOOKUP(Tb_Activiteiten[[#This Row],[Openstelling]],Tb_Openstelling[],2,0)=1,1,""),"")</f>
        <v/>
      </c>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25">
      <c r="A526" s="337"/>
      <c r="F526" s="79"/>
      <c r="G526" s="79"/>
      <c r="L526" s="71"/>
      <c r="N526" t="str">
        <f>IFERROR(IF(VLOOKUP(Tb_Activiteiten[[#This Row],[Openstelling]],Tb_Openstelling[],2,0)=1,1,""),"")</f>
        <v/>
      </c>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25">
      <c r="A527" s="337"/>
      <c r="F527" s="79"/>
      <c r="G527" s="79"/>
      <c r="L527" s="71"/>
      <c r="N527" t="str">
        <f>IFERROR(IF(VLOOKUP(Tb_Activiteiten[[#This Row],[Openstelling]],Tb_Openstelling[],2,0)=1,1,""),"")</f>
        <v/>
      </c>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25">
      <c r="A528" s="337"/>
      <c r="F528" s="79"/>
      <c r="G528" s="79"/>
      <c r="L528" s="71"/>
      <c r="N528" t="str">
        <f>IFERROR(IF(VLOOKUP(Tb_Activiteiten[[#This Row],[Openstelling]],Tb_Openstelling[],2,0)=1,1,""),"")</f>
        <v/>
      </c>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25">
      <c r="A529" s="337"/>
      <c r="F529" s="79"/>
      <c r="G529" s="79"/>
      <c r="L529" s="71"/>
      <c r="N529" t="str">
        <f>IFERROR(IF(VLOOKUP(Tb_Activiteiten[[#This Row],[Openstelling]],Tb_Openstelling[],2,0)=1,1,""),"")</f>
        <v/>
      </c>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25">
      <c r="A530" s="337"/>
      <c r="F530" s="79"/>
      <c r="G530" s="79"/>
      <c r="L530" s="71"/>
      <c r="N530" t="str">
        <f>IFERROR(IF(VLOOKUP(Tb_Activiteiten[[#This Row],[Openstelling]],Tb_Openstelling[],2,0)=1,1,""),"")</f>
        <v/>
      </c>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25">
      <c r="A531" s="337"/>
      <c r="F531" s="79"/>
      <c r="G531" s="79"/>
      <c r="L531" s="71"/>
      <c r="N531" t="str">
        <f>IFERROR(IF(VLOOKUP(Tb_Activiteiten[[#This Row],[Openstelling]],Tb_Openstelling[],2,0)=1,1,""),"")</f>
        <v/>
      </c>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25">
      <c r="A532" s="337"/>
      <c r="F532" s="79"/>
      <c r="G532" s="79"/>
      <c r="L532" s="71"/>
      <c r="N532" t="str">
        <f>IFERROR(IF(VLOOKUP(Tb_Activiteiten[[#This Row],[Openstelling]],Tb_Openstelling[],2,0)=1,1,""),"")</f>
        <v/>
      </c>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25">
      <c r="A533" s="337"/>
      <c r="F533" s="79"/>
      <c r="G533" s="79"/>
      <c r="L533" s="71"/>
      <c r="N533" t="str">
        <f>IFERROR(IF(VLOOKUP(Tb_Activiteiten[[#This Row],[Openstelling]],Tb_Openstelling[],2,0)=1,1,""),"")</f>
        <v/>
      </c>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25">
      <c r="A534" s="337"/>
      <c r="F534" s="79"/>
      <c r="G534" s="79"/>
      <c r="L534" s="71"/>
      <c r="N534" t="str">
        <f>IFERROR(IF(VLOOKUP(Tb_Activiteiten[[#This Row],[Openstelling]],Tb_Openstelling[],2,0)=1,1,""),"")</f>
        <v/>
      </c>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25">
      <c r="A535" s="337"/>
      <c r="F535" s="79"/>
      <c r="G535" s="79"/>
      <c r="L535" s="71"/>
      <c r="N535" t="str">
        <f>IFERROR(IF(VLOOKUP(Tb_Activiteiten[[#This Row],[Openstelling]],Tb_Openstelling[],2,0)=1,1,""),"")</f>
        <v/>
      </c>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25">
      <c r="A536" s="337"/>
      <c r="F536" s="79"/>
      <c r="G536" s="79"/>
      <c r="L536" s="71"/>
      <c r="N536" t="str">
        <f>IFERROR(IF(VLOOKUP(Tb_Activiteiten[[#This Row],[Openstelling]],Tb_Openstelling[],2,0)=1,1,""),"")</f>
        <v/>
      </c>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25">
      <c r="A537" s="337"/>
      <c r="F537" s="79"/>
      <c r="G537" s="79"/>
      <c r="L537" s="71"/>
      <c r="N537" t="str">
        <f>IFERROR(IF(VLOOKUP(Tb_Activiteiten[[#This Row],[Openstelling]],Tb_Openstelling[],2,0)=1,1,""),"")</f>
        <v/>
      </c>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25">
      <c r="A538" s="337"/>
      <c r="F538" s="79"/>
      <c r="G538" s="79"/>
      <c r="L538" s="71"/>
      <c r="N538" t="str">
        <f>IFERROR(IF(VLOOKUP(Tb_Activiteiten[[#This Row],[Openstelling]],Tb_Openstelling[],2,0)=1,1,""),"")</f>
        <v/>
      </c>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25">
      <c r="A539" s="337"/>
      <c r="F539" s="79"/>
      <c r="G539" s="79"/>
      <c r="L539" s="71"/>
      <c r="N539" t="str">
        <f>IFERROR(IF(VLOOKUP(Tb_Activiteiten[[#This Row],[Openstelling]],Tb_Openstelling[],2,0)=1,1,""),"")</f>
        <v/>
      </c>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25">
      <c r="A540" s="337"/>
      <c r="F540" s="79"/>
      <c r="G540" s="79"/>
      <c r="L540" s="71"/>
      <c r="N540" t="str">
        <f>IFERROR(IF(VLOOKUP(Tb_Activiteiten[[#This Row],[Openstelling]],Tb_Openstelling[],2,0)=1,1,""),"")</f>
        <v/>
      </c>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25">
      <c r="A541" s="337"/>
      <c r="F541" s="79"/>
      <c r="G541" s="79"/>
      <c r="L541" s="71"/>
      <c r="N541" t="str">
        <f>IFERROR(IF(VLOOKUP(Tb_Activiteiten[[#This Row],[Openstelling]],Tb_Openstelling[],2,0)=1,1,""),"")</f>
        <v/>
      </c>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25">
      <c r="A542" s="337"/>
      <c r="F542" s="79"/>
      <c r="G542" s="79"/>
      <c r="L542" s="71"/>
      <c r="N542" t="str">
        <f>IFERROR(IF(VLOOKUP(Tb_Activiteiten[[#This Row],[Openstelling]],Tb_Openstelling[],2,0)=1,1,""),"")</f>
        <v/>
      </c>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25">
      <c r="A543" s="337"/>
      <c r="F543" s="79"/>
      <c r="G543" s="79"/>
      <c r="L543" s="71"/>
      <c r="N543" t="str">
        <f>IFERROR(IF(VLOOKUP(Tb_Activiteiten[[#This Row],[Openstelling]],Tb_Openstelling[],2,0)=1,1,""),"")</f>
        <v/>
      </c>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25">
      <c r="A544" s="337"/>
      <c r="F544" s="79"/>
      <c r="G544" s="79"/>
      <c r="L544" s="71"/>
      <c r="N544" t="str">
        <f>IFERROR(IF(VLOOKUP(Tb_Activiteiten[[#This Row],[Openstelling]],Tb_Openstelling[],2,0)=1,1,""),"")</f>
        <v/>
      </c>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25">
      <c r="A545" s="337"/>
      <c r="F545" s="79"/>
      <c r="G545" s="79"/>
      <c r="L545" s="71"/>
      <c r="N545" t="str">
        <f>IFERROR(IF(VLOOKUP(Tb_Activiteiten[[#This Row],[Openstelling]],Tb_Openstelling[],2,0)=1,1,""),"")</f>
        <v/>
      </c>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25">
      <c r="A546" s="337"/>
      <c r="F546" s="79"/>
      <c r="G546" s="79"/>
      <c r="L546" s="71"/>
      <c r="N546" t="str">
        <f>IFERROR(IF(VLOOKUP(Tb_Activiteiten[[#This Row],[Openstelling]],Tb_Openstelling[],2,0)=1,1,""),"")</f>
        <v/>
      </c>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25">
      <c r="A547" s="337"/>
      <c r="F547" s="79"/>
      <c r="G547" s="79"/>
      <c r="L547" s="71"/>
      <c r="N547" t="str">
        <f>IFERROR(IF(VLOOKUP(Tb_Activiteiten[[#This Row],[Openstelling]],Tb_Openstelling[],2,0)=1,1,""),"")</f>
        <v/>
      </c>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25">
      <c r="A548" s="337"/>
      <c r="F548" s="79"/>
      <c r="G548" s="79"/>
      <c r="L548" s="71"/>
      <c r="N548" t="str">
        <f>IFERROR(IF(VLOOKUP(Tb_Activiteiten[[#This Row],[Openstelling]],Tb_Openstelling[],2,0)=1,1,""),"")</f>
        <v/>
      </c>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25">
      <c r="A549" s="337"/>
      <c r="F549" s="79"/>
      <c r="G549" s="79"/>
      <c r="L549" s="71"/>
      <c r="N549" t="str">
        <f>IFERROR(IF(VLOOKUP(Tb_Activiteiten[[#This Row],[Openstelling]],Tb_Openstelling[],2,0)=1,1,""),"")</f>
        <v/>
      </c>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25">
      <c r="A550" s="337"/>
      <c r="F550" s="79"/>
      <c r="G550" s="79"/>
      <c r="L550" s="71"/>
      <c r="N550" t="str">
        <f>IFERROR(IF(VLOOKUP(Tb_Activiteiten[[#This Row],[Openstelling]],Tb_Openstelling[],2,0)=1,1,""),"")</f>
        <v/>
      </c>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25">
      <c r="A551" s="337"/>
      <c r="F551" s="79"/>
      <c r="G551" s="79"/>
      <c r="L551" s="71"/>
      <c r="N551" t="str">
        <f>IFERROR(IF(VLOOKUP(Tb_Activiteiten[[#This Row],[Openstelling]],Tb_Openstelling[],2,0)=1,1,""),"")</f>
        <v/>
      </c>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25">
      <c r="A552" s="337"/>
      <c r="F552" s="79"/>
      <c r="G552" s="79"/>
      <c r="L552" s="71"/>
      <c r="N552" t="str">
        <f>IFERROR(IF(VLOOKUP(Tb_Activiteiten[[#This Row],[Openstelling]],Tb_Openstelling[],2,0)=1,1,""),"")</f>
        <v/>
      </c>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25">
      <c r="A553" s="337"/>
      <c r="F553" s="79"/>
      <c r="G553" s="79"/>
      <c r="L553" s="71"/>
      <c r="N553" t="str">
        <f>IFERROR(IF(VLOOKUP(Tb_Activiteiten[[#This Row],[Openstelling]],Tb_Openstelling[],2,0)=1,1,""),"")</f>
        <v/>
      </c>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25">
      <c r="A554" s="337"/>
      <c r="F554" s="79"/>
      <c r="G554" s="79"/>
      <c r="L554" s="71"/>
      <c r="N554" t="str">
        <f>IFERROR(IF(VLOOKUP(Tb_Activiteiten[[#This Row],[Openstelling]],Tb_Openstelling[],2,0)=1,1,""),"")</f>
        <v/>
      </c>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25">
      <c r="A555" s="337"/>
      <c r="F555" s="79"/>
      <c r="G555" s="79"/>
      <c r="L555" s="71"/>
      <c r="N555" t="str">
        <f>IFERROR(IF(VLOOKUP(Tb_Activiteiten[[#This Row],[Openstelling]],Tb_Openstelling[],2,0)=1,1,""),"")</f>
        <v/>
      </c>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25">
      <c r="A556" s="337"/>
      <c r="F556" s="79"/>
      <c r="G556" s="79"/>
      <c r="L556" s="71"/>
      <c r="N556" t="str">
        <f>IFERROR(IF(VLOOKUP(Tb_Activiteiten[[#This Row],[Openstelling]],Tb_Openstelling[],2,0)=1,1,""),"")</f>
        <v/>
      </c>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25">
      <c r="A557" s="337"/>
      <c r="F557" s="79"/>
      <c r="G557" s="79"/>
      <c r="L557" s="71"/>
      <c r="N557" t="str">
        <f>IFERROR(IF(VLOOKUP(Tb_Activiteiten[[#This Row],[Openstelling]],Tb_Openstelling[],2,0)=1,1,""),"")</f>
        <v/>
      </c>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25">
      <c r="A558" s="337"/>
      <c r="F558" s="79"/>
      <c r="G558" s="79"/>
      <c r="L558" s="71"/>
      <c r="N558" t="str">
        <f>IFERROR(IF(VLOOKUP(Tb_Activiteiten[[#This Row],[Openstelling]],Tb_Openstelling[],2,0)=1,1,""),"")</f>
        <v/>
      </c>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25">
      <c r="A559" s="337"/>
      <c r="F559" s="79"/>
      <c r="G559" s="79"/>
      <c r="L559" s="71"/>
      <c r="N559" t="str">
        <f>IFERROR(IF(VLOOKUP(Tb_Activiteiten[[#This Row],[Openstelling]],Tb_Openstelling[],2,0)=1,1,""),"")</f>
        <v/>
      </c>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25">
      <c r="A560" s="337"/>
      <c r="F560" s="79"/>
      <c r="G560" s="79"/>
      <c r="L560" s="71"/>
      <c r="N560" t="str">
        <f>IFERROR(IF(VLOOKUP(Tb_Activiteiten[[#This Row],[Openstelling]],Tb_Openstelling[],2,0)=1,1,""),"")</f>
        <v/>
      </c>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25">
      <c r="A561" s="337"/>
      <c r="F561" s="79"/>
      <c r="G561" s="79"/>
      <c r="L561" s="71"/>
      <c r="N561" t="str">
        <f>IFERROR(IF(VLOOKUP(Tb_Activiteiten[[#This Row],[Openstelling]],Tb_Openstelling[],2,0)=1,1,""),"")</f>
        <v/>
      </c>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25">
      <c r="A562" s="337"/>
      <c r="F562" s="79"/>
      <c r="G562" s="79"/>
      <c r="L562" s="71"/>
      <c r="N562" t="str">
        <f>IFERROR(IF(VLOOKUP(Tb_Activiteiten[[#This Row],[Openstelling]],Tb_Openstelling[],2,0)=1,1,""),"")</f>
        <v/>
      </c>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25">
      <c r="A563" s="337"/>
      <c r="F563" s="79"/>
      <c r="G563" s="79"/>
      <c r="L563" s="71"/>
      <c r="N563" t="str">
        <f>IFERROR(IF(VLOOKUP(Tb_Activiteiten[[#This Row],[Openstelling]],Tb_Openstelling[],2,0)=1,1,""),"")</f>
        <v/>
      </c>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25">
      <c r="A564" s="337"/>
      <c r="F564" s="79"/>
      <c r="G564" s="79"/>
      <c r="L564" s="71"/>
      <c r="N564" t="str">
        <f>IFERROR(IF(VLOOKUP(Tb_Activiteiten[[#This Row],[Openstelling]],Tb_Openstelling[],2,0)=1,1,""),"")</f>
        <v/>
      </c>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25">
      <c r="A565" s="337"/>
      <c r="F565" s="79"/>
      <c r="G565" s="79"/>
      <c r="L565" s="71"/>
      <c r="N565" t="str">
        <f>IFERROR(IF(VLOOKUP(Tb_Activiteiten[[#This Row],[Openstelling]],Tb_Openstelling[],2,0)=1,1,""),"")</f>
        <v/>
      </c>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25">
      <c r="A566" s="337"/>
      <c r="F566" s="79"/>
      <c r="G566" s="79"/>
      <c r="L566" s="71"/>
      <c r="N566" t="str">
        <f>IFERROR(IF(VLOOKUP(Tb_Activiteiten[[#This Row],[Openstelling]],Tb_Openstelling[],2,0)=1,1,""),"")</f>
        <v/>
      </c>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25">
      <c r="A567" s="337"/>
      <c r="F567" s="79"/>
      <c r="G567" s="79"/>
      <c r="L567" s="71"/>
      <c r="N567" t="str">
        <f>IFERROR(IF(VLOOKUP(Tb_Activiteiten[[#This Row],[Openstelling]],Tb_Openstelling[],2,0)=1,1,""),"")</f>
        <v/>
      </c>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25">
      <c r="A568" s="337"/>
      <c r="F568" s="79"/>
      <c r="G568" s="79"/>
      <c r="L568" s="71"/>
      <c r="N568" t="str">
        <f>IFERROR(IF(VLOOKUP(Tb_Activiteiten[[#This Row],[Openstelling]],Tb_Openstelling[],2,0)=1,1,""),"")</f>
        <v/>
      </c>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25">
      <c r="A569" s="337"/>
      <c r="F569" s="79"/>
      <c r="G569" s="79"/>
      <c r="L569" s="71"/>
      <c r="N569" t="str">
        <f>IFERROR(IF(VLOOKUP(Tb_Activiteiten[[#This Row],[Openstelling]],Tb_Openstelling[],2,0)=1,1,""),"")</f>
        <v/>
      </c>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25">
      <c r="A570" s="337"/>
      <c r="F570" s="79"/>
      <c r="G570" s="79"/>
      <c r="L570" s="71"/>
      <c r="N570" t="str">
        <f>IFERROR(IF(VLOOKUP(Tb_Activiteiten[[#This Row],[Openstelling]],Tb_Openstelling[],2,0)=1,1,""),"")</f>
        <v/>
      </c>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25">
      <c r="A571" s="337"/>
      <c r="F571" s="79"/>
      <c r="G571" s="79"/>
      <c r="L571" s="71"/>
      <c r="N571" t="str">
        <f>IFERROR(IF(VLOOKUP(Tb_Activiteiten[[#This Row],[Openstelling]],Tb_Openstelling[],2,0)=1,1,""),"")</f>
        <v/>
      </c>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25">
      <c r="A572" s="337"/>
      <c r="F572" s="79"/>
      <c r="G572" s="79"/>
      <c r="L572" s="71"/>
      <c r="N572" t="str">
        <f>IFERROR(IF(VLOOKUP(Tb_Activiteiten[[#This Row],[Openstelling]],Tb_Openstelling[],2,0)=1,1,""),"")</f>
        <v/>
      </c>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25">
      <c r="A573" s="337"/>
      <c r="F573" s="79"/>
      <c r="G573" s="79"/>
      <c r="L573" s="71"/>
      <c r="N573" t="str">
        <f>IFERROR(IF(VLOOKUP(Tb_Activiteiten[[#This Row],[Openstelling]],Tb_Openstelling[],2,0)=1,1,""),"")</f>
        <v/>
      </c>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25">
      <c r="A574" s="337"/>
      <c r="F574" s="79"/>
      <c r="G574" s="79"/>
      <c r="L574" s="71"/>
      <c r="N574" t="str">
        <f>IFERROR(IF(VLOOKUP(Tb_Activiteiten[[#This Row],[Openstelling]],Tb_Openstelling[],2,0)=1,1,""),"")</f>
        <v/>
      </c>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25">
      <c r="A575" s="337"/>
      <c r="F575" s="79"/>
      <c r="G575" s="79"/>
      <c r="L575" s="71"/>
      <c r="N575" t="str">
        <f>IFERROR(IF(VLOOKUP(Tb_Activiteiten[[#This Row],[Openstelling]],Tb_Openstelling[],2,0)=1,1,""),"")</f>
        <v/>
      </c>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25">
      <c r="A576" s="337"/>
      <c r="F576" s="79"/>
      <c r="G576" s="79"/>
      <c r="L576" s="71"/>
      <c r="N576" t="str">
        <f>IFERROR(IF(VLOOKUP(Tb_Activiteiten[[#This Row],[Openstelling]],Tb_Openstelling[],2,0)=1,1,""),"")</f>
        <v/>
      </c>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25">
      <c r="A577" s="337"/>
      <c r="F577" s="79"/>
      <c r="G577" s="79"/>
      <c r="L577" s="71"/>
      <c r="N577" t="str">
        <f>IFERROR(IF(VLOOKUP(Tb_Activiteiten[[#This Row],[Openstelling]],Tb_Openstelling[],2,0)=1,1,""),"")</f>
        <v/>
      </c>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25">
      <c r="A578" s="337"/>
      <c r="F578" s="79"/>
      <c r="G578" s="79"/>
      <c r="L578" s="71"/>
      <c r="N578" t="str">
        <f>IFERROR(IF(VLOOKUP(Tb_Activiteiten[[#This Row],[Openstelling]],Tb_Openstelling[],2,0)=1,1,""),"")</f>
        <v/>
      </c>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25">
      <c r="A579" s="337"/>
      <c r="F579" s="79"/>
      <c r="G579" s="79"/>
      <c r="L579" s="71"/>
      <c r="N579" t="str">
        <f>IFERROR(IF(VLOOKUP(Tb_Activiteiten[[#This Row],[Openstelling]],Tb_Openstelling[],2,0)=1,1,""),"")</f>
        <v/>
      </c>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25">
      <c r="A580" s="337"/>
      <c r="F580" s="79"/>
      <c r="G580" s="79"/>
      <c r="L580" s="71"/>
      <c r="N580" t="str">
        <f>IFERROR(IF(VLOOKUP(Tb_Activiteiten[[#This Row],[Openstelling]],Tb_Openstelling[],2,0)=1,1,""),"")</f>
        <v/>
      </c>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25">
      <c r="A581" s="337"/>
      <c r="F581" s="79"/>
      <c r="G581" s="79"/>
      <c r="L581" s="71"/>
      <c r="N581" t="str">
        <f>IFERROR(IF(VLOOKUP(Tb_Activiteiten[[#This Row],[Openstelling]],Tb_Openstelling[],2,0)=1,1,""),"")</f>
        <v/>
      </c>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25">
      <c r="A582" s="337"/>
      <c r="F582" s="79"/>
      <c r="G582" s="79"/>
      <c r="L582" s="71"/>
      <c r="N582" t="str">
        <f>IFERROR(IF(VLOOKUP(Tb_Activiteiten[[#This Row],[Openstelling]],Tb_Openstelling[],2,0)=1,1,""),"")</f>
        <v/>
      </c>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25">
      <c r="A583" s="337"/>
      <c r="F583" s="79"/>
      <c r="G583" s="79"/>
      <c r="L583" s="71"/>
      <c r="N583" t="str">
        <f>IFERROR(IF(VLOOKUP(Tb_Activiteiten[[#This Row],[Openstelling]],Tb_Openstelling[],2,0)=1,1,""),"")</f>
        <v/>
      </c>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25">
      <c r="A584" s="337"/>
      <c r="F584" s="79"/>
      <c r="G584" s="79"/>
      <c r="L584" s="71"/>
      <c r="N584" t="str">
        <f>IFERROR(IF(VLOOKUP(Tb_Activiteiten[[#This Row],[Openstelling]],Tb_Openstelling[],2,0)=1,1,""),"")</f>
        <v/>
      </c>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25">
      <c r="A585" s="337"/>
      <c r="F585" s="79"/>
      <c r="G585" s="79"/>
      <c r="L585" s="71"/>
      <c r="N585" t="str">
        <f>IFERROR(IF(VLOOKUP(Tb_Activiteiten[[#This Row],[Openstelling]],Tb_Openstelling[],2,0)=1,1,""),"")</f>
        <v/>
      </c>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25">
      <c r="A586" s="337"/>
      <c r="F586" s="79"/>
      <c r="G586" s="79"/>
      <c r="L586" s="71"/>
      <c r="N586" t="str">
        <f>IFERROR(IF(VLOOKUP(Tb_Activiteiten[[#This Row],[Openstelling]],Tb_Openstelling[],2,0)=1,1,""),"")</f>
        <v/>
      </c>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25">
      <c r="A587" s="337"/>
      <c r="F587" s="79"/>
      <c r="G587" s="79"/>
      <c r="L587" s="71"/>
      <c r="N587" t="str">
        <f>IFERROR(IF(VLOOKUP(Tb_Activiteiten[[#This Row],[Openstelling]],Tb_Openstelling[],2,0)=1,1,""),"")</f>
        <v/>
      </c>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25">
      <c r="A588" s="337"/>
      <c r="F588" s="79"/>
      <c r="G588" s="79"/>
      <c r="L588" s="71"/>
      <c r="N588" t="str">
        <f>IFERROR(IF(VLOOKUP(Tb_Activiteiten[[#This Row],[Openstelling]],Tb_Openstelling[],2,0)=1,1,""),"")</f>
        <v/>
      </c>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25">
      <c r="A589" s="337"/>
      <c r="F589" s="79"/>
      <c r="G589" s="79"/>
      <c r="L589" s="71"/>
      <c r="N589" t="str">
        <f>IFERROR(IF(VLOOKUP(Tb_Activiteiten[[#This Row],[Openstelling]],Tb_Openstelling[],2,0)=1,1,""),"")</f>
        <v/>
      </c>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25">
      <c r="A590" s="337"/>
      <c r="F590" s="79"/>
      <c r="G590" s="79"/>
      <c r="L590" s="71"/>
      <c r="N590" t="str">
        <f>IFERROR(IF(VLOOKUP(Tb_Activiteiten[[#This Row],[Openstelling]],Tb_Openstelling[],2,0)=1,1,""),"")</f>
        <v/>
      </c>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25">
      <c r="A591" s="337"/>
      <c r="F591" s="79"/>
      <c r="G591" s="79"/>
      <c r="L591" s="71"/>
      <c r="N591" t="str">
        <f>IFERROR(IF(VLOOKUP(Tb_Activiteiten[[#This Row],[Openstelling]],Tb_Openstelling[],2,0)=1,1,""),"")</f>
        <v/>
      </c>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25">
      <c r="A592" s="337"/>
      <c r="F592" s="79"/>
      <c r="G592" s="79"/>
      <c r="L592" s="71"/>
      <c r="N592" t="str">
        <f>IFERROR(IF(VLOOKUP(Tb_Activiteiten[[#This Row],[Openstelling]],Tb_Openstelling[],2,0)=1,1,""),"")</f>
        <v/>
      </c>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25">
      <c r="A593" s="337"/>
      <c r="F593" s="79"/>
      <c r="G593" s="79"/>
      <c r="L593" s="71"/>
      <c r="N593" t="str">
        <f>IFERROR(IF(VLOOKUP(Tb_Activiteiten[[#This Row],[Openstelling]],Tb_Openstelling[],2,0)=1,1,""),"")</f>
        <v/>
      </c>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25">
      <c r="A594" s="337"/>
      <c r="F594" s="79"/>
      <c r="G594" s="79"/>
      <c r="L594" s="71"/>
      <c r="N594" t="str">
        <f>IFERROR(IF(VLOOKUP(Tb_Activiteiten[[#This Row],[Openstelling]],Tb_Openstelling[],2,0)=1,1,""),"")</f>
        <v/>
      </c>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25">
      <c r="A595" s="337"/>
      <c r="F595" s="79"/>
      <c r="G595" s="79"/>
      <c r="L595" s="71"/>
      <c r="N595" t="str">
        <f>IFERROR(IF(VLOOKUP(Tb_Activiteiten[[#This Row],[Openstelling]],Tb_Openstelling[],2,0)=1,1,""),"")</f>
        <v/>
      </c>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25">
      <c r="A596" s="337"/>
      <c r="F596" s="79"/>
      <c r="G596" s="79"/>
      <c r="L596" s="71"/>
      <c r="N596" t="str">
        <f>IFERROR(IF(VLOOKUP(Tb_Activiteiten[[#This Row],[Openstelling]],Tb_Openstelling[],2,0)=1,1,""),"")</f>
        <v/>
      </c>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25">
      <c r="A597" s="337"/>
      <c r="F597" s="79"/>
      <c r="G597" s="79"/>
      <c r="L597" s="71"/>
      <c r="N597" t="str">
        <f>IFERROR(IF(VLOOKUP(Tb_Activiteiten[[#This Row],[Openstelling]],Tb_Openstelling[],2,0)=1,1,""),"")</f>
        <v/>
      </c>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25">
      <c r="A598" s="337"/>
      <c r="F598" s="79"/>
      <c r="G598" s="79"/>
      <c r="L598" s="71"/>
      <c r="N598" t="str">
        <f>IFERROR(IF(VLOOKUP(Tb_Activiteiten[[#This Row],[Openstelling]],Tb_Openstelling[],2,0)=1,1,""),"")</f>
        <v/>
      </c>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25">
      <c r="A599" s="337"/>
      <c r="F599" s="79"/>
      <c r="G599" s="79"/>
      <c r="L599" s="71"/>
      <c r="N599" t="str">
        <f>IFERROR(IF(VLOOKUP(Tb_Activiteiten[[#This Row],[Openstelling]],Tb_Openstelling[],2,0)=1,1,""),"")</f>
        <v/>
      </c>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25">
      <c r="A600" s="337"/>
      <c r="F600" s="79"/>
      <c r="G600" s="79"/>
      <c r="L600" s="71"/>
      <c r="N600" t="str">
        <f>IFERROR(IF(VLOOKUP(Tb_Activiteiten[[#This Row],[Openstelling]],Tb_Openstelling[],2,0)=1,1,""),"")</f>
        <v/>
      </c>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25">
      <c r="A601" s="337"/>
      <c r="F601" s="79"/>
      <c r="G601" s="79"/>
      <c r="L601" s="71"/>
      <c r="N601" t="str">
        <f>IFERROR(IF(VLOOKUP(Tb_Activiteiten[[#This Row],[Openstelling]],Tb_Openstelling[],2,0)=1,1,""),"")</f>
        <v/>
      </c>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25">
      <c r="A602" s="337"/>
      <c r="F602" s="79"/>
      <c r="G602" s="79"/>
      <c r="L602" s="71"/>
      <c r="N602" t="str">
        <f>IFERROR(IF(VLOOKUP(Tb_Activiteiten[[#This Row],[Openstelling]],Tb_Openstelling[],2,0)=1,1,""),"")</f>
        <v/>
      </c>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25">
      <c r="A603" s="337"/>
      <c r="F603" s="79"/>
      <c r="G603" s="79"/>
      <c r="L603" s="71"/>
      <c r="N603" t="str">
        <f>IFERROR(IF(VLOOKUP(Tb_Activiteiten[[#This Row],[Openstelling]],Tb_Openstelling[],2,0)=1,1,""),"")</f>
        <v/>
      </c>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25">
      <c r="A604" s="337"/>
      <c r="F604" s="79"/>
      <c r="G604" s="79"/>
      <c r="L604" s="71"/>
      <c r="N604" t="str">
        <f>IFERROR(IF(VLOOKUP(Tb_Activiteiten[[#This Row],[Openstelling]],Tb_Openstelling[],2,0)=1,1,""),"")</f>
        <v/>
      </c>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25">
      <c r="A605" s="337"/>
      <c r="F605" s="79"/>
      <c r="G605" s="79"/>
      <c r="L605" s="71"/>
      <c r="N605" t="str">
        <f>IFERROR(IF(VLOOKUP(Tb_Activiteiten[[#This Row],[Openstelling]],Tb_Openstelling[],2,0)=1,1,""),"")</f>
        <v/>
      </c>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25">
      <c r="A606" s="337"/>
      <c r="F606" s="79"/>
      <c r="G606" s="79"/>
      <c r="L606" s="71"/>
      <c r="N606" t="str">
        <f>IFERROR(IF(VLOOKUP(Tb_Activiteiten[[#This Row],[Openstelling]],Tb_Openstelling[],2,0)=1,1,""),"")</f>
        <v/>
      </c>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25">
      <c r="A607" s="337"/>
      <c r="F607" s="79"/>
      <c r="G607" s="79"/>
      <c r="L607" s="71"/>
      <c r="N607" t="str">
        <f>IFERROR(IF(VLOOKUP(Tb_Activiteiten[[#This Row],[Openstelling]],Tb_Openstelling[],2,0)=1,1,""),"")</f>
        <v/>
      </c>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25">
      <c r="A608" s="337"/>
      <c r="F608" s="79"/>
      <c r="G608" s="79"/>
      <c r="L608" s="71"/>
      <c r="N608" t="str">
        <f>IFERROR(IF(VLOOKUP(Tb_Activiteiten[[#This Row],[Openstelling]],Tb_Openstelling[],2,0)=1,1,""),"")</f>
        <v/>
      </c>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25">
      <c r="A609" s="337"/>
      <c r="F609" s="79"/>
      <c r="G609" s="79"/>
      <c r="L609" s="71"/>
      <c r="N609" t="str">
        <f>IFERROR(IF(VLOOKUP(Tb_Activiteiten[[#This Row],[Openstelling]],Tb_Openstelling[],2,0)=1,1,""),"")</f>
        <v/>
      </c>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25">
      <c r="A610" s="337"/>
      <c r="F610" s="79"/>
      <c r="G610" s="79"/>
      <c r="L610" s="71"/>
      <c r="N610" t="str">
        <f>IFERROR(IF(VLOOKUP(Tb_Activiteiten[[#This Row],[Openstelling]],Tb_Openstelling[],2,0)=1,1,""),"")</f>
        <v/>
      </c>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25">
      <c r="A611" s="337"/>
      <c r="F611" s="79"/>
      <c r="G611" s="79"/>
      <c r="L611" s="71"/>
      <c r="N611" t="str">
        <f>IFERROR(IF(VLOOKUP(Tb_Activiteiten[[#This Row],[Openstelling]],Tb_Openstelling[],2,0)=1,1,""),"")</f>
        <v/>
      </c>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25">
      <c r="A612" s="337"/>
      <c r="F612" s="79"/>
      <c r="G612" s="79"/>
      <c r="L612" s="71"/>
      <c r="N612" t="str">
        <f>IFERROR(IF(VLOOKUP(Tb_Activiteiten[[#This Row],[Openstelling]],Tb_Openstelling[],2,0)=1,1,""),"")</f>
        <v/>
      </c>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25">
      <c r="A613" s="337"/>
      <c r="F613" s="79"/>
      <c r="G613" s="79"/>
      <c r="L613" s="71"/>
      <c r="N613" t="str">
        <f>IFERROR(IF(VLOOKUP(Tb_Activiteiten[[#This Row],[Openstelling]],Tb_Openstelling[],2,0)=1,1,""),"")</f>
        <v/>
      </c>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25">
      <c r="A614" s="337"/>
      <c r="F614" s="79"/>
      <c r="G614" s="79"/>
      <c r="L614" s="71"/>
      <c r="N614" t="str">
        <f>IFERROR(IF(VLOOKUP(Tb_Activiteiten[[#This Row],[Openstelling]],Tb_Openstelling[],2,0)=1,1,""),"")</f>
        <v/>
      </c>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25">
      <c r="A615" s="337"/>
      <c r="F615" s="79"/>
      <c r="G615" s="79"/>
      <c r="L615" s="71"/>
      <c r="N615" t="str">
        <f>IFERROR(IF(VLOOKUP(Tb_Activiteiten[[#This Row],[Openstelling]],Tb_Openstelling[],2,0)=1,1,""),"")</f>
        <v/>
      </c>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25">
      <c r="A616" s="337"/>
      <c r="F616" s="79"/>
      <c r="G616" s="79"/>
      <c r="L616" s="71"/>
      <c r="N616" t="str">
        <f>IFERROR(IF(VLOOKUP(Tb_Activiteiten[[#This Row],[Openstelling]],Tb_Openstelling[],2,0)=1,1,""),"")</f>
        <v/>
      </c>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25">
      <c r="A617" s="337"/>
      <c r="F617" s="79"/>
      <c r="G617" s="79"/>
      <c r="L617" s="71"/>
      <c r="N617" t="str">
        <f>IFERROR(IF(VLOOKUP(Tb_Activiteiten[[#This Row],[Openstelling]],Tb_Openstelling[],2,0)=1,1,""),"")</f>
        <v/>
      </c>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25">
      <c r="A618" s="337"/>
      <c r="F618" s="79"/>
      <c r="G618" s="79"/>
      <c r="L618" s="71"/>
      <c r="N618" t="str">
        <f>IFERROR(IF(VLOOKUP(Tb_Activiteiten[[#This Row],[Openstelling]],Tb_Openstelling[],2,0)=1,1,""),"")</f>
        <v/>
      </c>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25">
      <c r="A619" s="337"/>
      <c r="F619" s="79"/>
      <c r="G619" s="79"/>
      <c r="L619" s="71"/>
      <c r="N619" t="str">
        <f>IFERROR(IF(VLOOKUP(Tb_Activiteiten[[#This Row],[Openstelling]],Tb_Openstelling[],2,0)=1,1,""),"")</f>
        <v/>
      </c>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25">
      <c r="A620" s="337"/>
      <c r="F620" s="79"/>
      <c r="G620" s="79"/>
      <c r="L620" s="71"/>
      <c r="N620" t="str">
        <f>IFERROR(IF(VLOOKUP(Tb_Activiteiten[[#This Row],[Openstelling]],Tb_Openstelling[],2,0)=1,1,""),"")</f>
        <v/>
      </c>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25">
      <c r="A621" s="337"/>
      <c r="F621" s="79"/>
      <c r="G621" s="79"/>
      <c r="L621" s="71"/>
      <c r="N621" t="str">
        <f>IFERROR(IF(VLOOKUP(Tb_Activiteiten[[#This Row],[Openstelling]],Tb_Openstelling[],2,0)=1,1,""),"")</f>
        <v/>
      </c>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25">
      <c r="A622" s="337"/>
      <c r="F622" s="79"/>
      <c r="G622" s="79"/>
      <c r="L622" s="71"/>
      <c r="N622" t="str">
        <f>IFERROR(IF(VLOOKUP(Tb_Activiteiten[[#This Row],[Openstelling]],Tb_Openstelling[],2,0)=1,1,""),"")</f>
        <v/>
      </c>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25">
      <c r="A623" s="337"/>
      <c r="F623" s="79"/>
      <c r="G623" s="79"/>
      <c r="L623" s="71"/>
      <c r="N623" t="str">
        <f>IFERROR(IF(VLOOKUP(Tb_Activiteiten[[#This Row],[Openstelling]],Tb_Openstelling[],2,0)=1,1,""),"")</f>
        <v/>
      </c>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25">
      <c r="A624" s="337"/>
      <c r="F624" s="79"/>
      <c r="G624" s="79"/>
      <c r="L624" s="71"/>
      <c r="N624" t="str">
        <f>IFERROR(IF(VLOOKUP(Tb_Activiteiten[[#This Row],[Openstelling]],Tb_Openstelling[],2,0)=1,1,""),"")</f>
        <v/>
      </c>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25">
      <c r="A625" s="337"/>
      <c r="F625" s="79"/>
      <c r="G625" s="79"/>
      <c r="L625" s="71"/>
      <c r="N625" t="str">
        <f>IFERROR(IF(VLOOKUP(Tb_Activiteiten[[#This Row],[Openstelling]],Tb_Openstelling[],2,0)=1,1,""),"")</f>
        <v/>
      </c>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25">
      <c r="A626" s="337"/>
      <c r="F626" s="79"/>
      <c r="G626" s="79"/>
      <c r="L626" s="71"/>
      <c r="N626" t="str">
        <f>IFERROR(IF(VLOOKUP(Tb_Activiteiten[[#This Row],[Openstelling]],Tb_Openstelling[],2,0)=1,1,""),"")</f>
        <v/>
      </c>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25">
      <c r="A627" s="337"/>
      <c r="F627" s="79"/>
      <c r="G627" s="79"/>
      <c r="L627" s="71"/>
      <c r="N627" t="str">
        <f>IFERROR(IF(VLOOKUP(Tb_Activiteiten[[#This Row],[Openstelling]],Tb_Openstelling[],2,0)=1,1,""),"")</f>
        <v/>
      </c>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25">
      <c r="A628" s="337"/>
      <c r="F628" s="79"/>
      <c r="G628" s="79"/>
      <c r="L628" s="71"/>
      <c r="N628" t="str">
        <f>IFERROR(IF(VLOOKUP(Tb_Activiteiten[[#This Row],[Openstelling]],Tb_Openstelling[],2,0)=1,1,""),"")</f>
        <v/>
      </c>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25">
      <c r="A629" s="337"/>
      <c r="F629" s="79"/>
      <c r="G629" s="79"/>
      <c r="L629" s="71"/>
      <c r="N629" t="str">
        <f>IFERROR(IF(VLOOKUP(Tb_Activiteiten[[#This Row],[Openstelling]],Tb_Openstelling[],2,0)=1,1,""),"")</f>
        <v/>
      </c>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25">
      <c r="A630" s="337"/>
      <c r="F630" s="79"/>
      <c r="G630" s="79"/>
      <c r="L630" s="71"/>
      <c r="N630" t="str">
        <f>IFERROR(IF(VLOOKUP(Tb_Activiteiten[[#This Row],[Openstelling]],Tb_Openstelling[],2,0)=1,1,""),"")</f>
        <v/>
      </c>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25">
      <c r="A631" s="337"/>
      <c r="F631" s="79"/>
      <c r="G631" s="79"/>
      <c r="L631" s="71"/>
      <c r="N631" t="str">
        <f>IFERROR(IF(VLOOKUP(Tb_Activiteiten[[#This Row],[Openstelling]],Tb_Openstelling[],2,0)=1,1,""),"")</f>
        <v/>
      </c>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25">
      <c r="A632" s="337"/>
      <c r="F632" s="79"/>
      <c r="G632" s="79"/>
      <c r="L632" s="71"/>
      <c r="N632" t="str">
        <f>IFERROR(IF(VLOOKUP(Tb_Activiteiten[[#This Row],[Openstelling]],Tb_Openstelling[],2,0)=1,1,""),"")</f>
        <v/>
      </c>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25">
      <c r="A633" s="337"/>
      <c r="F633" s="79"/>
      <c r="G633" s="79"/>
      <c r="L633" s="71"/>
      <c r="N633" t="str">
        <f>IFERROR(IF(VLOOKUP(Tb_Activiteiten[[#This Row],[Openstelling]],Tb_Openstelling[],2,0)=1,1,""),"")</f>
        <v/>
      </c>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25">
      <c r="A634" s="337"/>
      <c r="F634" s="79"/>
      <c r="G634" s="79"/>
      <c r="L634" s="71"/>
      <c r="N634" t="str">
        <f>IFERROR(IF(VLOOKUP(Tb_Activiteiten[[#This Row],[Openstelling]],Tb_Openstelling[],2,0)=1,1,""),"")</f>
        <v/>
      </c>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25">
      <c r="A635" s="337"/>
      <c r="F635" s="79"/>
      <c r="G635" s="79"/>
      <c r="L635" s="71"/>
      <c r="N635" t="str">
        <f>IFERROR(IF(VLOOKUP(Tb_Activiteiten[[#This Row],[Openstelling]],Tb_Openstelling[],2,0)=1,1,""),"")</f>
        <v/>
      </c>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25">
      <c r="A636" s="337"/>
      <c r="F636" s="79"/>
      <c r="G636" s="79"/>
      <c r="L636" s="71"/>
      <c r="N636" t="str">
        <f>IFERROR(IF(VLOOKUP(Tb_Activiteiten[[#This Row],[Openstelling]],Tb_Openstelling[],2,0)=1,1,""),"")</f>
        <v/>
      </c>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25">
      <c r="A637" s="337"/>
      <c r="F637" s="79"/>
      <c r="G637" s="79"/>
      <c r="L637" s="71"/>
      <c r="N637" t="str">
        <f>IFERROR(IF(VLOOKUP(Tb_Activiteiten[[#This Row],[Openstelling]],Tb_Openstelling[],2,0)=1,1,""),"")</f>
        <v/>
      </c>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25">
      <c r="A638" s="337"/>
      <c r="F638" s="79"/>
      <c r="G638" s="79"/>
      <c r="L638" s="71"/>
      <c r="N638" t="str">
        <f>IFERROR(IF(VLOOKUP(Tb_Activiteiten[[#This Row],[Openstelling]],Tb_Openstelling[],2,0)=1,1,""),"")</f>
        <v/>
      </c>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25">
      <c r="A639" s="337"/>
      <c r="F639" s="79"/>
      <c r="G639" s="79"/>
      <c r="L639" s="71"/>
      <c r="N639" t="str">
        <f>IFERROR(IF(VLOOKUP(Tb_Activiteiten[[#This Row],[Openstelling]],Tb_Openstelling[],2,0)=1,1,""),"")</f>
        <v/>
      </c>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25">
      <c r="A640" s="337"/>
      <c r="F640" s="79"/>
      <c r="G640" s="79"/>
      <c r="L640" s="71"/>
      <c r="N640" t="str">
        <f>IFERROR(IF(VLOOKUP(Tb_Activiteiten[[#This Row],[Openstelling]],Tb_Openstelling[],2,0)=1,1,""),"")</f>
        <v/>
      </c>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25">
      <c r="A641" s="337"/>
      <c r="F641" s="79"/>
      <c r="G641" s="79"/>
      <c r="L641" s="71"/>
      <c r="N641" t="str">
        <f>IFERROR(IF(VLOOKUP(Tb_Activiteiten[[#This Row],[Openstelling]],Tb_Openstelling[],2,0)=1,1,""),"")</f>
        <v/>
      </c>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25">
      <c r="A642" s="337"/>
      <c r="F642" s="79"/>
      <c r="G642" s="79"/>
      <c r="L642" s="71"/>
      <c r="N642" t="str">
        <f>IFERROR(IF(VLOOKUP(Tb_Activiteiten[[#This Row],[Openstelling]],Tb_Openstelling[],2,0)=1,1,""),"")</f>
        <v/>
      </c>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25">
      <c r="A643" s="337"/>
      <c r="F643" s="79"/>
      <c r="G643" s="79"/>
      <c r="L643" s="71"/>
      <c r="N643" t="str">
        <f>IFERROR(IF(VLOOKUP(Tb_Activiteiten[[#This Row],[Openstelling]],Tb_Openstelling[],2,0)=1,1,""),"")</f>
        <v/>
      </c>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25">
      <c r="A644" s="337"/>
      <c r="F644" s="79"/>
      <c r="G644" s="79"/>
      <c r="L644" s="71"/>
      <c r="N644" t="str">
        <f>IFERROR(IF(VLOOKUP(Tb_Activiteiten[[#This Row],[Openstelling]],Tb_Openstelling[],2,0)=1,1,""),"")</f>
        <v/>
      </c>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25">
      <c r="A645" s="337"/>
      <c r="F645" s="79"/>
      <c r="G645" s="79"/>
      <c r="L645" s="71"/>
      <c r="N645" t="str">
        <f>IFERROR(IF(VLOOKUP(Tb_Activiteiten[[#This Row],[Openstelling]],Tb_Openstelling[],2,0)=1,1,""),"")</f>
        <v/>
      </c>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25">
      <c r="A646" s="337"/>
      <c r="F646" s="79"/>
      <c r="G646" s="79"/>
      <c r="L646" s="71"/>
      <c r="N646" t="str">
        <f>IFERROR(IF(VLOOKUP(Tb_Activiteiten[[#This Row],[Openstelling]],Tb_Openstelling[],2,0)=1,1,""),"")</f>
        <v/>
      </c>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25">
      <c r="A647" s="337"/>
      <c r="F647" s="79"/>
      <c r="G647" s="79"/>
      <c r="L647" s="71"/>
      <c r="N647" t="str">
        <f>IFERROR(IF(VLOOKUP(Tb_Activiteiten[[#This Row],[Openstelling]],Tb_Openstelling[],2,0)=1,1,""),"")</f>
        <v/>
      </c>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25">
      <c r="A648" s="337"/>
      <c r="F648" s="79"/>
      <c r="G648" s="79"/>
      <c r="L648" s="71"/>
      <c r="N648" t="str">
        <f>IFERROR(IF(VLOOKUP(Tb_Activiteiten[[#This Row],[Openstelling]],Tb_Openstelling[],2,0)=1,1,""),"")</f>
        <v/>
      </c>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25">
      <c r="A649" s="337"/>
      <c r="F649" s="79"/>
      <c r="G649" s="79"/>
      <c r="L649" s="71"/>
      <c r="N649" t="str">
        <f>IFERROR(IF(VLOOKUP(Tb_Activiteiten[[#This Row],[Openstelling]],Tb_Openstelling[],2,0)=1,1,""),"")</f>
        <v/>
      </c>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25">
      <c r="A650" s="337"/>
      <c r="F650" s="79"/>
      <c r="G650" s="79"/>
      <c r="L650" s="71"/>
      <c r="N650" t="str">
        <f>IFERROR(IF(VLOOKUP(Tb_Activiteiten[[#This Row],[Openstelling]],Tb_Openstelling[],2,0)=1,1,""),"")</f>
        <v/>
      </c>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25">
      <c r="A651" s="337"/>
      <c r="F651" s="79"/>
      <c r="G651" s="79"/>
      <c r="L651" s="71"/>
      <c r="N651" t="str">
        <f>IFERROR(IF(VLOOKUP(Tb_Activiteiten[[#This Row],[Openstelling]],Tb_Openstelling[],2,0)=1,1,""),"")</f>
        <v/>
      </c>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25">
      <c r="A652" s="337"/>
      <c r="F652" s="79"/>
      <c r="G652" s="79"/>
      <c r="L652" s="71"/>
      <c r="N652" t="str">
        <f>IFERROR(IF(VLOOKUP(Tb_Activiteiten[[#This Row],[Openstelling]],Tb_Openstelling[],2,0)=1,1,""),"")</f>
        <v/>
      </c>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25">
      <c r="A653" s="337"/>
      <c r="F653" s="79"/>
      <c r="G653" s="79"/>
      <c r="L653" s="71"/>
      <c r="N653" t="str">
        <f>IFERROR(IF(VLOOKUP(Tb_Activiteiten[[#This Row],[Openstelling]],Tb_Openstelling[],2,0)=1,1,""),"")</f>
        <v/>
      </c>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25">
      <c r="A654" s="337"/>
      <c r="F654" s="79"/>
      <c r="G654" s="79"/>
      <c r="L654" s="71"/>
      <c r="N654" t="str">
        <f>IFERROR(IF(VLOOKUP(Tb_Activiteiten[[#This Row],[Openstelling]],Tb_Openstelling[],2,0)=1,1,""),"")</f>
        <v/>
      </c>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25">
      <c r="A655" s="337"/>
      <c r="F655" s="79"/>
      <c r="G655" s="79"/>
      <c r="L655" s="71"/>
      <c r="N655" t="str">
        <f>IFERROR(IF(VLOOKUP(Tb_Activiteiten[[#This Row],[Openstelling]],Tb_Openstelling[],2,0)=1,1,""),"")</f>
        <v/>
      </c>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25">
      <c r="A656" s="337"/>
      <c r="F656" s="79"/>
      <c r="G656" s="79"/>
      <c r="L656" s="71"/>
      <c r="N656" t="str">
        <f>IFERROR(IF(VLOOKUP(Tb_Activiteiten[[#This Row],[Openstelling]],Tb_Openstelling[],2,0)=1,1,""),"")</f>
        <v/>
      </c>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25">
      <c r="A657" s="337"/>
      <c r="F657" s="79"/>
      <c r="G657" s="79"/>
      <c r="L657" s="71"/>
      <c r="N657" t="str">
        <f>IFERROR(IF(VLOOKUP(Tb_Activiteiten[[#This Row],[Openstelling]],Tb_Openstelling[],2,0)=1,1,""),"")</f>
        <v/>
      </c>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25">
      <c r="A658" s="337"/>
      <c r="F658" s="79"/>
      <c r="G658" s="79"/>
      <c r="L658" s="71"/>
      <c r="N658" t="str">
        <f>IFERROR(IF(VLOOKUP(Tb_Activiteiten[[#This Row],[Openstelling]],Tb_Openstelling[],2,0)=1,1,""),"")</f>
        <v/>
      </c>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25">
      <c r="A659" s="337"/>
      <c r="F659" s="79"/>
      <c r="G659" s="79"/>
      <c r="L659" s="71"/>
      <c r="N659" t="str">
        <f>IFERROR(IF(VLOOKUP(Tb_Activiteiten[[#This Row],[Openstelling]],Tb_Openstelling[],2,0)=1,1,""),"")</f>
        <v/>
      </c>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25">
      <c r="A660" s="337"/>
      <c r="F660" s="79"/>
      <c r="G660" s="79"/>
      <c r="L660" s="71"/>
      <c r="N660" t="str">
        <f>IFERROR(IF(VLOOKUP(Tb_Activiteiten[[#This Row],[Openstelling]],Tb_Openstelling[],2,0)=1,1,""),"")</f>
        <v/>
      </c>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25">
      <c r="A661" s="337"/>
      <c r="F661" s="79"/>
      <c r="G661" s="79"/>
      <c r="L661" s="71"/>
      <c r="N661" t="str">
        <f>IFERROR(IF(VLOOKUP(Tb_Activiteiten[[#This Row],[Openstelling]],Tb_Openstelling[],2,0)=1,1,""),"")</f>
        <v/>
      </c>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25">
      <c r="A662" s="337"/>
      <c r="F662" s="79"/>
      <c r="G662" s="79"/>
      <c r="L662" s="71"/>
      <c r="N662" t="str">
        <f>IFERROR(IF(VLOOKUP(Tb_Activiteiten[[#This Row],[Openstelling]],Tb_Openstelling[],2,0)=1,1,""),"")</f>
        <v/>
      </c>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25">
      <c r="A663" s="337"/>
      <c r="F663" s="79"/>
      <c r="G663" s="79"/>
      <c r="L663" s="71"/>
      <c r="N663" t="str">
        <f>IFERROR(IF(VLOOKUP(Tb_Activiteiten[[#This Row],[Openstelling]],Tb_Openstelling[],2,0)=1,1,""),"")</f>
        <v/>
      </c>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25">
      <c r="A664" s="337"/>
      <c r="F664" s="79"/>
      <c r="G664" s="79"/>
      <c r="L664" s="71"/>
      <c r="N664" t="str">
        <f>IFERROR(IF(VLOOKUP(Tb_Activiteiten[[#This Row],[Openstelling]],Tb_Openstelling[],2,0)=1,1,""),"")</f>
        <v/>
      </c>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25">
      <c r="A665" s="337"/>
      <c r="F665" s="79"/>
      <c r="G665" s="79"/>
      <c r="L665" s="71"/>
      <c r="N665" t="str">
        <f>IFERROR(IF(VLOOKUP(Tb_Activiteiten[[#This Row],[Openstelling]],Tb_Openstelling[],2,0)=1,1,""),"")</f>
        <v/>
      </c>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25">
      <c r="A666" s="337"/>
      <c r="F666" s="79"/>
      <c r="G666" s="79"/>
      <c r="L666" s="71"/>
      <c r="N666" t="str">
        <f>IFERROR(IF(VLOOKUP(Tb_Activiteiten[[#This Row],[Openstelling]],Tb_Openstelling[],2,0)=1,1,""),"")</f>
        <v/>
      </c>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25">
      <c r="A667" s="337"/>
      <c r="F667" s="79"/>
      <c r="G667" s="79"/>
      <c r="L667" s="71"/>
      <c r="N667" t="str">
        <f>IFERROR(IF(VLOOKUP(Tb_Activiteiten[[#This Row],[Openstelling]],Tb_Openstelling[],2,0)=1,1,""),"")</f>
        <v/>
      </c>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25">
      <c r="A668" s="337"/>
      <c r="F668" s="79"/>
      <c r="G668" s="79"/>
      <c r="L668" s="71"/>
      <c r="N668" t="str">
        <f>IFERROR(IF(VLOOKUP(Tb_Activiteiten[[#This Row],[Openstelling]],Tb_Openstelling[],2,0)=1,1,""),"")</f>
        <v/>
      </c>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25">
      <c r="A669" s="337"/>
      <c r="F669" s="79"/>
      <c r="G669" s="79"/>
      <c r="L669" s="71"/>
      <c r="N669" t="str">
        <f>IFERROR(IF(VLOOKUP(Tb_Activiteiten[[#This Row],[Openstelling]],Tb_Openstelling[],2,0)=1,1,""),"")</f>
        <v/>
      </c>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25">
      <c r="A670" s="337"/>
      <c r="F670" s="79"/>
      <c r="G670" s="79"/>
      <c r="L670" s="71"/>
      <c r="N670" t="str">
        <f>IFERROR(IF(VLOOKUP(Tb_Activiteiten[[#This Row],[Openstelling]],Tb_Openstelling[],2,0)=1,1,""),"")</f>
        <v/>
      </c>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25">
      <c r="A671" s="337"/>
      <c r="F671" s="79"/>
      <c r="G671" s="79"/>
      <c r="L671" s="71"/>
      <c r="N671" t="str">
        <f>IFERROR(IF(VLOOKUP(Tb_Activiteiten[[#This Row],[Openstelling]],Tb_Openstelling[],2,0)=1,1,""),"")</f>
        <v/>
      </c>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25">
      <c r="A672" s="337"/>
      <c r="F672" s="79"/>
      <c r="G672" s="79"/>
      <c r="L672" s="71"/>
      <c r="N672" t="str">
        <f>IFERROR(IF(VLOOKUP(Tb_Activiteiten[[#This Row],[Openstelling]],Tb_Openstelling[],2,0)=1,1,""),"")</f>
        <v/>
      </c>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25">
      <c r="A673" s="337"/>
      <c r="F673" s="79"/>
      <c r="G673" s="79"/>
      <c r="L673" s="71"/>
      <c r="N673" t="str">
        <f>IFERROR(IF(VLOOKUP(Tb_Activiteiten[[#This Row],[Openstelling]],Tb_Openstelling[],2,0)=1,1,""),"")</f>
        <v/>
      </c>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25">
      <c r="A674" s="337"/>
      <c r="F674" s="79"/>
      <c r="G674" s="79"/>
      <c r="L674" s="71"/>
      <c r="N674" t="str">
        <f>IFERROR(IF(VLOOKUP(Tb_Activiteiten[[#This Row],[Openstelling]],Tb_Openstelling[],2,0)=1,1,""),"")</f>
        <v/>
      </c>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25">
      <c r="A675" s="337"/>
      <c r="F675" s="79"/>
      <c r="G675" s="79"/>
      <c r="L675" s="71"/>
      <c r="N675" t="str">
        <f>IFERROR(IF(VLOOKUP(Tb_Activiteiten[[#This Row],[Openstelling]],Tb_Openstelling[],2,0)=1,1,""),"")</f>
        <v/>
      </c>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25">
      <c r="A676" s="337"/>
      <c r="F676" s="79"/>
      <c r="G676" s="79"/>
      <c r="L676" s="71"/>
      <c r="N676" t="str">
        <f>IFERROR(IF(VLOOKUP(Tb_Activiteiten[[#This Row],[Openstelling]],Tb_Openstelling[],2,0)=1,1,""),"")</f>
        <v/>
      </c>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25">
      <c r="A677" s="337"/>
      <c r="F677" s="79"/>
      <c r="G677" s="79"/>
      <c r="L677" s="71"/>
      <c r="N677" t="str">
        <f>IFERROR(IF(VLOOKUP(Tb_Activiteiten[[#This Row],[Openstelling]],Tb_Openstelling[],2,0)=1,1,""),"")</f>
        <v/>
      </c>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25">
      <c r="A678" s="337"/>
      <c r="F678" s="79"/>
      <c r="G678" s="79"/>
      <c r="L678" s="71"/>
      <c r="N678" t="str">
        <f>IFERROR(IF(VLOOKUP(Tb_Activiteiten[[#This Row],[Openstelling]],Tb_Openstelling[],2,0)=1,1,""),"")</f>
        <v/>
      </c>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25">
      <c r="A679" s="337"/>
      <c r="F679" s="79"/>
      <c r="G679" s="79"/>
      <c r="L679" s="71"/>
      <c r="N679" t="str">
        <f>IFERROR(IF(VLOOKUP(Tb_Activiteiten[[#This Row],[Openstelling]],Tb_Openstelling[],2,0)=1,1,""),"")</f>
        <v/>
      </c>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25">
      <c r="A680" s="337"/>
      <c r="F680" s="79"/>
      <c r="G680" s="79"/>
      <c r="L680" s="71"/>
      <c r="N680" t="str">
        <f>IFERROR(IF(VLOOKUP(Tb_Activiteiten[[#This Row],[Openstelling]],Tb_Openstelling[],2,0)=1,1,""),"")</f>
        <v/>
      </c>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25">
      <c r="A681" s="337"/>
      <c r="F681" s="79"/>
      <c r="G681" s="79"/>
      <c r="L681" s="71"/>
      <c r="N681" t="str">
        <f>IFERROR(IF(VLOOKUP(Tb_Activiteiten[[#This Row],[Openstelling]],Tb_Openstelling[],2,0)=1,1,""),"")</f>
        <v/>
      </c>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25">
      <c r="A682" s="337"/>
      <c r="F682" s="79"/>
      <c r="G682" s="79"/>
      <c r="L682" s="71"/>
      <c r="N682" t="str">
        <f>IFERROR(IF(VLOOKUP(Tb_Activiteiten[[#This Row],[Openstelling]],Tb_Openstelling[],2,0)=1,1,""),"")</f>
        <v/>
      </c>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25">
      <c r="A683" s="337"/>
      <c r="F683" s="79"/>
      <c r="G683" s="79"/>
      <c r="L683" s="71"/>
      <c r="N683" t="str">
        <f>IFERROR(IF(VLOOKUP(Tb_Activiteiten[[#This Row],[Openstelling]],Tb_Openstelling[],2,0)=1,1,""),"")</f>
        <v/>
      </c>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25">
      <c r="A684" s="337"/>
      <c r="F684" s="79"/>
      <c r="G684" s="79"/>
      <c r="L684" s="71"/>
      <c r="N684" t="str">
        <f>IFERROR(IF(VLOOKUP(Tb_Activiteiten[[#This Row],[Openstelling]],Tb_Openstelling[],2,0)=1,1,""),"")</f>
        <v/>
      </c>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25">
      <c r="A685" s="337"/>
      <c r="F685" s="79"/>
      <c r="G685" s="79"/>
      <c r="L685" s="71"/>
      <c r="N685" t="str">
        <f>IFERROR(IF(VLOOKUP(Tb_Activiteiten[[#This Row],[Openstelling]],Tb_Openstelling[],2,0)=1,1,""),"")</f>
        <v/>
      </c>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25">
      <c r="A686" s="337"/>
      <c r="F686" s="79"/>
      <c r="G686" s="79"/>
      <c r="L686" s="71"/>
      <c r="N686" t="str">
        <f>IFERROR(IF(VLOOKUP(Tb_Activiteiten[[#This Row],[Openstelling]],Tb_Openstelling[],2,0)=1,1,""),"")</f>
        <v/>
      </c>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25">
      <c r="A687" s="337"/>
      <c r="F687" s="79"/>
      <c r="G687" s="79"/>
      <c r="L687" s="71"/>
      <c r="N687" t="str">
        <f>IFERROR(IF(VLOOKUP(Tb_Activiteiten[[#This Row],[Openstelling]],Tb_Openstelling[],2,0)=1,1,""),"")</f>
        <v/>
      </c>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25">
      <c r="A688" s="337"/>
      <c r="F688" s="79"/>
      <c r="G688" s="79"/>
      <c r="L688" s="71"/>
      <c r="N688" t="str">
        <f>IFERROR(IF(VLOOKUP(Tb_Activiteiten[[#This Row],[Openstelling]],Tb_Openstelling[],2,0)=1,1,""),"")</f>
        <v/>
      </c>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25">
      <c r="A689" s="337"/>
      <c r="F689" s="79"/>
      <c r="G689" s="79"/>
      <c r="L689" s="71"/>
      <c r="N689" t="str">
        <f>IFERROR(IF(VLOOKUP(Tb_Activiteiten[[#This Row],[Openstelling]],Tb_Openstelling[],2,0)=1,1,""),"")</f>
        <v/>
      </c>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25">
      <c r="A690" s="337"/>
      <c r="F690" s="79"/>
      <c r="G690" s="79"/>
      <c r="L690" s="71"/>
      <c r="N690" t="str">
        <f>IFERROR(IF(VLOOKUP(Tb_Activiteiten[[#This Row],[Openstelling]],Tb_Openstelling[],2,0)=1,1,""),"")</f>
        <v/>
      </c>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25">
      <c r="A691" s="337"/>
      <c r="F691" s="79"/>
      <c r="G691" s="79"/>
      <c r="L691" s="71"/>
      <c r="N691" t="str">
        <f>IFERROR(IF(VLOOKUP(Tb_Activiteiten[[#This Row],[Openstelling]],Tb_Openstelling[],2,0)=1,1,""),"")</f>
        <v/>
      </c>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25">
      <c r="A692" s="337"/>
      <c r="F692" s="79"/>
      <c r="G692" s="79"/>
      <c r="L692" s="71"/>
      <c r="N692" t="str">
        <f>IFERROR(IF(VLOOKUP(Tb_Activiteiten[[#This Row],[Openstelling]],Tb_Openstelling[],2,0)=1,1,""),"")</f>
        <v/>
      </c>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25">
      <c r="A693" s="337"/>
      <c r="F693" s="79"/>
      <c r="G693" s="79"/>
      <c r="L693" s="71"/>
      <c r="N693" t="str">
        <f>IFERROR(IF(VLOOKUP(Tb_Activiteiten[[#This Row],[Openstelling]],Tb_Openstelling[],2,0)=1,1,""),"")</f>
        <v/>
      </c>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25">
      <c r="A694" s="337"/>
      <c r="F694" s="79"/>
      <c r="G694" s="79"/>
      <c r="L694" s="71"/>
      <c r="N694" t="str">
        <f>IFERROR(IF(VLOOKUP(Tb_Activiteiten[[#This Row],[Openstelling]],Tb_Openstelling[],2,0)=1,1,""),"")</f>
        <v/>
      </c>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25">
      <c r="A695" s="337"/>
      <c r="F695" s="79"/>
      <c r="G695" s="79"/>
      <c r="L695" s="71"/>
      <c r="N695" t="str">
        <f>IFERROR(IF(VLOOKUP(Tb_Activiteiten[[#This Row],[Openstelling]],Tb_Openstelling[],2,0)=1,1,""),"")</f>
        <v/>
      </c>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25">
      <c r="A696" s="337"/>
      <c r="F696" s="79"/>
      <c r="G696" s="79"/>
      <c r="L696" s="71"/>
      <c r="N696" t="str">
        <f>IFERROR(IF(VLOOKUP(Tb_Activiteiten[[#This Row],[Openstelling]],Tb_Openstelling[],2,0)=1,1,""),"")</f>
        <v/>
      </c>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25">
      <c r="A697" s="337"/>
      <c r="F697" s="79"/>
      <c r="G697" s="79"/>
      <c r="L697" s="71"/>
      <c r="N697" t="str">
        <f>IFERROR(IF(VLOOKUP(Tb_Activiteiten[[#This Row],[Openstelling]],Tb_Openstelling[],2,0)=1,1,""),"")</f>
        <v/>
      </c>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25">
      <c r="A698" s="337"/>
      <c r="F698" s="79"/>
      <c r="G698" s="79"/>
      <c r="L698" s="71"/>
      <c r="N698" t="str">
        <f>IFERROR(IF(VLOOKUP(Tb_Activiteiten[[#This Row],[Openstelling]],Tb_Openstelling[],2,0)=1,1,""),"")</f>
        <v/>
      </c>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25">
      <c r="A699" s="337"/>
      <c r="F699" s="79"/>
      <c r="G699" s="79"/>
      <c r="L699" s="71"/>
      <c r="N699" t="str">
        <f>IFERROR(IF(VLOOKUP(Tb_Activiteiten[[#This Row],[Openstelling]],Tb_Openstelling[],2,0)=1,1,""),"")</f>
        <v/>
      </c>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25">
      <c r="A700" s="337"/>
      <c r="F700" s="79"/>
      <c r="G700" s="79"/>
      <c r="L700" s="71"/>
      <c r="N700" t="str">
        <f>IFERROR(IF(VLOOKUP(Tb_Activiteiten[[#This Row],[Openstelling]],Tb_Openstelling[],2,0)=1,1,""),"")</f>
        <v/>
      </c>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25">
      <c r="A701" s="337"/>
      <c r="F701" s="79"/>
      <c r="G701" s="79"/>
      <c r="L701" s="71"/>
      <c r="N701" t="str">
        <f>IFERROR(IF(VLOOKUP(Tb_Activiteiten[[#This Row],[Openstelling]],Tb_Openstelling[],2,0)=1,1,""),"")</f>
        <v/>
      </c>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25">
      <c r="A702" s="337"/>
      <c r="F702" s="79"/>
      <c r="G702" s="79"/>
      <c r="L702" s="71"/>
      <c r="N702" t="str">
        <f>IFERROR(IF(VLOOKUP(Tb_Activiteiten[[#This Row],[Openstelling]],Tb_Openstelling[],2,0)=1,1,""),"")</f>
        <v/>
      </c>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25">
      <c r="A703" s="337"/>
      <c r="F703" s="79"/>
      <c r="G703" s="79"/>
      <c r="L703" s="71"/>
      <c r="N703" t="str">
        <f>IFERROR(IF(VLOOKUP(Tb_Activiteiten[[#This Row],[Openstelling]],Tb_Openstelling[],2,0)=1,1,""),"")</f>
        <v/>
      </c>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25">
      <c r="A704" s="337"/>
      <c r="F704" s="79"/>
      <c r="G704" s="79"/>
      <c r="L704" s="71"/>
      <c r="N704" t="str">
        <f>IFERROR(IF(VLOOKUP(Tb_Activiteiten[[#This Row],[Openstelling]],Tb_Openstelling[],2,0)=1,1,""),"")</f>
        <v/>
      </c>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25">
      <c r="A705" s="337"/>
      <c r="F705" s="79"/>
      <c r="G705" s="79"/>
      <c r="L705" s="71"/>
      <c r="N705" t="str">
        <f>IFERROR(IF(VLOOKUP(Tb_Activiteiten[[#This Row],[Openstelling]],Tb_Openstelling[],2,0)=1,1,""),"")</f>
        <v/>
      </c>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25">
      <c r="A706" s="337"/>
      <c r="F706" s="79"/>
      <c r="G706" s="79"/>
      <c r="L706" s="71"/>
      <c r="N706" t="str">
        <f>IFERROR(IF(VLOOKUP(Tb_Activiteiten[[#This Row],[Openstelling]],Tb_Openstelling[],2,0)=1,1,""),"")</f>
        <v/>
      </c>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25">
      <c r="A707" s="337"/>
      <c r="F707" s="79"/>
      <c r="G707" s="79"/>
      <c r="L707" s="71"/>
      <c r="N707" t="str">
        <f>IFERROR(IF(VLOOKUP(Tb_Activiteiten[[#This Row],[Openstelling]],Tb_Openstelling[],2,0)=1,1,""),"")</f>
        <v/>
      </c>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25">
      <c r="A708" s="337"/>
      <c r="F708" s="79"/>
      <c r="G708" s="79"/>
      <c r="L708" s="71"/>
      <c r="N708" t="str">
        <f>IFERROR(IF(VLOOKUP(Tb_Activiteiten[[#This Row],[Openstelling]],Tb_Openstelling[],2,0)=1,1,""),"")</f>
        <v/>
      </c>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25">
      <c r="A709" s="337"/>
      <c r="F709" s="79"/>
      <c r="G709" s="79"/>
      <c r="L709" s="71"/>
      <c r="N709" t="str">
        <f>IFERROR(IF(VLOOKUP(Tb_Activiteiten[[#This Row],[Openstelling]],Tb_Openstelling[],2,0)=1,1,""),"")</f>
        <v/>
      </c>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25">
      <c r="A710" s="337"/>
      <c r="F710" s="79"/>
      <c r="G710" s="79"/>
      <c r="L710" s="71"/>
      <c r="N710" t="str">
        <f>IFERROR(IF(VLOOKUP(Tb_Activiteiten[[#This Row],[Openstelling]],Tb_Openstelling[],2,0)=1,1,""),"")</f>
        <v/>
      </c>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25">
      <c r="A711" s="337"/>
      <c r="F711" s="79"/>
      <c r="G711" s="79"/>
      <c r="L711" s="71"/>
      <c r="N711" t="str">
        <f>IFERROR(IF(VLOOKUP(Tb_Activiteiten[[#This Row],[Openstelling]],Tb_Openstelling[],2,0)=1,1,""),"")</f>
        <v/>
      </c>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25">
      <c r="A712" s="337"/>
      <c r="F712" s="79"/>
      <c r="G712" s="79"/>
      <c r="L712" s="71"/>
      <c r="N712" t="str">
        <f>IFERROR(IF(VLOOKUP(Tb_Activiteiten[[#This Row],[Openstelling]],Tb_Openstelling[],2,0)=1,1,""),"")</f>
        <v/>
      </c>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25">
      <c r="A713" s="337"/>
      <c r="F713" s="79"/>
      <c r="G713" s="79"/>
      <c r="L713" s="71"/>
      <c r="N713" t="str">
        <f>IFERROR(IF(VLOOKUP(Tb_Activiteiten[[#This Row],[Openstelling]],Tb_Openstelling[],2,0)=1,1,""),"")</f>
        <v/>
      </c>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25">
      <c r="A714" s="337"/>
      <c r="F714" s="79"/>
      <c r="G714" s="79"/>
      <c r="L714" s="71"/>
      <c r="N714" t="str">
        <f>IFERROR(IF(VLOOKUP(Tb_Activiteiten[[#This Row],[Openstelling]],Tb_Openstelling[],2,0)=1,1,""),"")</f>
        <v/>
      </c>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25">
      <c r="A715" s="337"/>
      <c r="F715" s="79"/>
      <c r="G715" s="79"/>
      <c r="L715" s="71"/>
      <c r="N715" t="str">
        <f>IFERROR(IF(VLOOKUP(Tb_Activiteiten[[#This Row],[Openstelling]],Tb_Openstelling[],2,0)=1,1,""),"")</f>
        <v/>
      </c>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25">
      <c r="A716" s="337"/>
      <c r="F716" s="79"/>
      <c r="G716" s="79"/>
      <c r="L716" s="71"/>
      <c r="N716" t="str">
        <f>IFERROR(IF(VLOOKUP(Tb_Activiteiten[[#This Row],[Openstelling]],Tb_Openstelling[],2,0)=1,1,""),"")</f>
        <v/>
      </c>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25">
      <c r="A717" s="337"/>
      <c r="F717" s="79"/>
      <c r="G717" s="79"/>
      <c r="L717" s="71"/>
      <c r="N717" t="str">
        <f>IFERROR(IF(VLOOKUP(Tb_Activiteiten[[#This Row],[Openstelling]],Tb_Openstelling[],2,0)=1,1,""),"")</f>
        <v/>
      </c>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25">
      <c r="A718" s="337"/>
      <c r="F718" s="79"/>
      <c r="G718" s="79"/>
      <c r="L718" s="71"/>
      <c r="N718" t="str">
        <f>IFERROR(IF(VLOOKUP(Tb_Activiteiten[[#This Row],[Openstelling]],Tb_Openstelling[],2,0)=1,1,""),"")</f>
        <v/>
      </c>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25">
      <c r="A719" s="337"/>
      <c r="F719" s="79"/>
      <c r="G719" s="79"/>
      <c r="L719" s="71"/>
      <c r="N719" t="str">
        <f>IFERROR(IF(VLOOKUP(Tb_Activiteiten[[#This Row],[Openstelling]],Tb_Openstelling[],2,0)=1,1,""),"")</f>
        <v/>
      </c>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25">
      <c r="A720" s="337"/>
      <c r="F720" s="79"/>
      <c r="G720" s="79"/>
      <c r="L720" s="71"/>
      <c r="N720" t="str">
        <f>IFERROR(IF(VLOOKUP(Tb_Activiteiten[[#This Row],[Openstelling]],Tb_Openstelling[],2,0)=1,1,""),"")</f>
        <v/>
      </c>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25">
      <c r="A721" s="337"/>
      <c r="F721" s="79"/>
      <c r="G721" s="79"/>
      <c r="L721" s="71"/>
      <c r="N721" t="str">
        <f>IFERROR(IF(VLOOKUP(Tb_Activiteiten[[#This Row],[Openstelling]],Tb_Openstelling[],2,0)=1,1,""),"")</f>
        <v/>
      </c>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25">
      <c r="A722" s="337"/>
      <c r="F722" s="79"/>
      <c r="G722" s="79"/>
      <c r="L722" s="71"/>
      <c r="N722" t="str">
        <f>IFERROR(IF(VLOOKUP(Tb_Activiteiten[[#This Row],[Openstelling]],Tb_Openstelling[],2,0)=1,1,""),"")</f>
        <v/>
      </c>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25">
      <c r="A723" s="337"/>
      <c r="F723" s="79"/>
      <c r="G723" s="79"/>
      <c r="L723" s="71"/>
      <c r="N723" t="str">
        <f>IFERROR(IF(VLOOKUP(Tb_Activiteiten[[#This Row],[Openstelling]],Tb_Openstelling[],2,0)=1,1,""),"")</f>
        <v/>
      </c>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25">
      <c r="A724" s="337"/>
      <c r="F724" s="79"/>
      <c r="G724" s="79"/>
      <c r="L724" s="71"/>
      <c r="N724" t="str">
        <f>IFERROR(IF(VLOOKUP(Tb_Activiteiten[[#This Row],[Openstelling]],Tb_Openstelling[],2,0)=1,1,""),"")</f>
        <v/>
      </c>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25">
      <c r="A725" s="337"/>
      <c r="F725" s="79"/>
      <c r="G725" s="79"/>
      <c r="L725" s="71"/>
      <c r="N725" t="str">
        <f>IFERROR(IF(VLOOKUP(Tb_Activiteiten[[#This Row],[Openstelling]],Tb_Openstelling[],2,0)=1,1,""),"")</f>
        <v/>
      </c>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25">
      <c r="A726" s="337"/>
      <c r="F726" s="79"/>
      <c r="G726" s="79"/>
      <c r="L726" s="71"/>
      <c r="N726" t="str">
        <f>IFERROR(IF(VLOOKUP(Tb_Activiteiten[[#This Row],[Openstelling]],Tb_Openstelling[],2,0)=1,1,""),"")</f>
        <v/>
      </c>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25">
      <c r="A727" s="337"/>
      <c r="F727" s="79"/>
      <c r="G727" s="79"/>
      <c r="L727" s="71"/>
      <c r="N727" t="str">
        <f>IFERROR(IF(VLOOKUP(Tb_Activiteiten[[#This Row],[Openstelling]],Tb_Openstelling[],2,0)=1,1,""),"")</f>
        <v/>
      </c>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25">
      <c r="A728" s="337"/>
      <c r="F728" s="79"/>
      <c r="G728" s="79"/>
      <c r="L728" s="71"/>
      <c r="N728" t="str">
        <f>IFERROR(IF(VLOOKUP(Tb_Activiteiten[[#This Row],[Openstelling]],Tb_Openstelling[],2,0)=1,1,""),"")</f>
        <v/>
      </c>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25">
      <c r="A729" s="337"/>
      <c r="F729" s="79"/>
      <c r="G729" s="79"/>
      <c r="L729" s="71"/>
      <c r="N729" t="str">
        <f>IFERROR(IF(VLOOKUP(Tb_Activiteiten[[#This Row],[Openstelling]],Tb_Openstelling[],2,0)=1,1,""),"")</f>
        <v/>
      </c>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25">
      <c r="A730" s="337"/>
      <c r="F730" s="79"/>
      <c r="G730" s="79"/>
      <c r="L730" s="71"/>
      <c r="N730" t="str">
        <f>IFERROR(IF(VLOOKUP(Tb_Activiteiten[[#This Row],[Openstelling]],Tb_Openstelling[],2,0)=1,1,""),"")</f>
        <v/>
      </c>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25">
      <c r="A731" s="337"/>
      <c r="F731" s="79"/>
      <c r="G731" s="79"/>
      <c r="L731" s="71"/>
      <c r="N731" t="str">
        <f>IFERROR(IF(VLOOKUP(Tb_Activiteiten[[#This Row],[Openstelling]],Tb_Openstelling[],2,0)=1,1,""),"")</f>
        <v/>
      </c>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25">
      <c r="A732" s="337"/>
      <c r="F732" s="79"/>
      <c r="G732" s="79"/>
      <c r="L732" s="71"/>
      <c r="N732" t="str">
        <f>IFERROR(IF(VLOOKUP(Tb_Activiteiten[[#This Row],[Openstelling]],Tb_Openstelling[],2,0)=1,1,""),"")</f>
        <v/>
      </c>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25">
      <c r="A733" s="337"/>
      <c r="F733" s="79"/>
      <c r="G733" s="79"/>
      <c r="L733" s="71"/>
      <c r="N733" t="str">
        <f>IFERROR(IF(VLOOKUP(Tb_Activiteiten[[#This Row],[Openstelling]],Tb_Openstelling[],2,0)=1,1,""),"")</f>
        <v/>
      </c>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25">
      <c r="A734" s="337"/>
      <c r="F734" s="79"/>
      <c r="G734" s="79"/>
      <c r="L734" s="71"/>
      <c r="N734" t="str">
        <f>IFERROR(IF(VLOOKUP(Tb_Activiteiten[[#This Row],[Openstelling]],Tb_Openstelling[],2,0)=1,1,""),"")</f>
        <v/>
      </c>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25">
      <c r="A735" s="337"/>
      <c r="F735" s="79"/>
      <c r="G735" s="79"/>
      <c r="L735" s="71"/>
      <c r="N735" t="str">
        <f>IFERROR(IF(VLOOKUP(Tb_Activiteiten[[#This Row],[Openstelling]],Tb_Openstelling[],2,0)=1,1,""),"")</f>
        <v/>
      </c>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25">
      <c r="A736" s="337"/>
      <c r="F736" s="79"/>
      <c r="G736" s="79"/>
      <c r="L736" s="71"/>
      <c r="N736" t="str">
        <f>IFERROR(IF(VLOOKUP(Tb_Activiteiten[[#This Row],[Openstelling]],Tb_Openstelling[],2,0)=1,1,""),"")</f>
        <v/>
      </c>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25">
      <c r="A737" s="337"/>
      <c r="F737" s="79"/>
      <c r="G737" s="79"/>
      <c r="L737" s="71"/>
      <c r="N737" t="str">
        <f>IFERROR(IF(VLOOKUP(Tb_Activiteiten[[#This Row],[Openstelling]],Tb_Openstelling[],2,0)=1,1,""),"")</f>
        <v/>
      </c>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25">
      <c r="A738" s="337"/>
      <c r="F738" s="79"/>
      <c r="G738" s="79"/>
      <c r="L738" s="71"/>
      <c r="N738" t="str">
        <f>IFERROR(IF(VLOOKUP(Tb_Activiteiten[[#This Row],[Openstelling]],Tb_Openstelling[],2,0)=1,1,""),"")</f>
        <v/>
      </c>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25">
      <c r="A739" s="337"/>
      <c r="F739" s="79"/>
      <c r="G739" s="79"/>
      <c r="L739" s="71"/>
      <c r="N739" t="str">
        <f>IFERROR(IF(VLOOKUP(Tb_Activiteiten[[#This Row],[Openstelling]],Tb_Openstelling[],2,0)=1,1,""),"")</f>
        <v/>
      </c>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25">
      <c r="A740" s="337"/>
      <c r="F740" s="79"/>
      <c r="G740" s="79"/>
      <c r="L740" s="71"/>
      <c r="N740" t="str">
        <f>IFERROR(IF(VLOOKUP(Tb_Activiteiten[[#This Row],[Openstelling]],Tb_Openstelling[],2,0)=1,1,""),"")</f>
        <v/>
      </c>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25">
      <c r="A741" s="337"/>
      <c r="F741" s="79"/>
      <c r="G741" s="79"/>
      <c r="L741" s="71"/>
      <c r="N741" t="str">
        <f>IFERROR(IF(VLOOKUP(Tb_Activiteiten[[#This Row],[Openstelling]],Tb_Openstelling[],2,0)=1,1,""),"")</f>
        <v/>
      </c>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25">
      <c r="A742" s="337"/>
      <c r="F742" s="79"/>
      <c r="G742" s="79"/>
      <c r="L742" s="71"/>
      <c r="N742" t="str">
        <f>IFERROR(IF(VLOOKUP(Tb_Activiteiten[[#This Row],[Openstelling]],Tb_Openstelling[],2,0)=1,1,""),"")</f>
        <v/>
      </c>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25">
      <c r="A743" s="337"/>
      <c r="F743" s="79"/>
      <c r="G743" s="79"/>
      <c r="L743" s="71"/>
      <c r="N743" t="str">
        <f>IFERROR(IF(VLOOKUP(Tb_Activiteiten[[#This Row],[Openstelling]],Tb_Openstelling[],2,0)=1,1,""),"")</f>
        <v/>
      </c>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25">
      <c r="A744" s="337"/>
      <c r="F744" s="79"/>
      <c r="G744" s="79"/>
      <c r="L744" s="71"/>
      <c r="N744" t="str">
        <f>IFERROR(IF(VLOOKUP(Tb_Activiteiten[[#This Row],[Openstelling]],Tb_Openstelling[],2,0)=1,1,""),"")</f>
        <v/>
      </c>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25">
      <c r="A745" s="337"/>
      <c r="F745" s="79"/>
      <c r="G745" s="79"/>
      <c r="L745" s="71"/>
      <c r="N745" t="str">
        <f>IFERROR(IF(VLOOKUP(Tb_Activiteiten[[#This Row],[Openstelling]],Tb_Openstelling[],2,0)=1,1,""),"")</f>
        <v/>
      </c>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25">
      <c r="A746" s="337"/>
      <c r="F746" s="79"/>
      <c r="G746" s="79"/>
      <c r="L746" s="71"/>
      <c r="N746" t="str">
        <f>IFERROR(IF(VLOOKUP(Tb_Activiteiten[[#This Row],[Openstelling]],Tb_Openstelling[],2,0)=1,1,""),"")</f>
        <v/>
      </c>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25">
      <c r="A747" s="337"/>
      <c r="F747" s="79"/>
      <c r="G747" s="79"/>
      <c r="L747" s="71"/>
      <c r="N747" t="str">
        <f>IFERROR(IF(VLOOKUP(Tb_Activiteiten[[#This Row],[Openstelling]],Tb_Openstelling[],2,0)=1,1,""),"")</f>
        <v/>
      </c>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25">
      <c r="A748" s="337"/>
      <c r="F748" s="79"/>
      <c r="G748" s="79"/>
      <c r="L748" s="71"/>
      <c r="N748" t="str">
        <f>IFERROR(IF(VLOOKUP(Tb_Activiteiten[[#This Row],[Openstelling]],Tb_Openstelling[],2,0)=1,1,""),"")</f>
        <v/>
      </c>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25">
      <c r="A749" s="337"/>
      <c r="F749" s="79"/>
      <c r="G749" s="79"/>
      <c r="L749" s="71"/>
      <c r="N749" t="str">
        <f>IFERROR(IF(VLOOKUP(Tb_Activiteiten[[#This Row],[Openstelling]],Tb_Openstelling[],2,0)=1,1,""),"")</f>
        <v/>
      </c>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25">
      <c r="A750" s="337"/>
      <c r="F750" s="79"/>
      <c r="G750" s="79"/>
      <c r="L750" s="71"/>
      <c r="N750" t="str">
        <f>IFERROR(IF(VLOOKUP(Tb_Activiteiten[[#This Row],[Openstelling]],Tb_Openstelling[],2,0)=1,1,""),"")</f>
        <v/>
      </c>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25">
      <c r="A751" s="337"/>
      <c r="F751" s="79"/>
      <c r="G751" s="79"/>
      <c r="L751" s="71"/>
      <c r="N751" t="str">
        <f>IFERROR(IF(VLOOKUP(Tb_Activiteiten[[#This Row],[Openstelling]],Tb_Openstelling[],2,0)=1,1,""),"")</f>
        <v/>
      </c>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25">
      <c r="A752" s="337"/>
      <c r="F752" s="79"/>
      <c r="G752" s="79"/>
      <c r="L752" s="71"/>
      <c r="N752" t="str">
        <f>IFERROR(IF(VLOOKUP(Tb_Activiteiten[[#This Row],[Openstelling]],Tb_Openstelling[],2,0)=1,1,""),"")</f>
        <v/>
      </c>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25">
      <c r="A753" s="337"/>
      <c r="F753" s="79"/>
      <c r="G753" s="79"/>
      <c r="L753" s="71"/>
      <c r="N753" t="str">
        <f>IFERROR(IF(VLOOKUP(Tb_Activiteiten[[#This Row],[Openstelling]],Tb_Openstelling[],2,0)=1,1,""),"")</f>
        <v/>
      </c>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25">
      <c r="A754" s="337"/>
      <c r="F754" s="79"/>
      <c r="G754" s="79"/>
      <c r="L754" s="71"/>
      <c r="N754" t="str">
        <f>IFERROR(IF(VLOOKUP(Tb_Activiteiten[[#This Row],[Openstelling]],Tb_Openstelling[],2,0)=1,1,""),"")</f>
        <v/>
      </c>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25">
      <c r="A755" s="337"/>
      <c r="F755" s="79"/>
      <c r="G755" s="79"/>
      <c r="L755" s="71"/>
      <c r="N755" t="str">
        <f>IFERROR(IF(VLOOKUP(Tb_Activiteiten[[#This Row],[Openstelling]],Tb_Openstelling[],2,0)=1,1,""),"")</f>
        <v/>
      </c>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25">
      <c r="A756" s="337"/>
      <c r="F756" s="79"/>
      <c r="G756" s="79"/>
      <c r="L756" s="71"/>
      <c r="N756" t="str">
        <f>IFERROR(IF(VLOOKUP(Tb_Activiteiten[[#This Row],[Openstelling]],Tb_Openstelling[],2,0)=1,1,""),"")</f>
        <v/>
      </c>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25">
      <c r="A757" s="337"/>
      <c r="F757" s="79"/>
      <c r="G757" s="79"/>
      <c r="L757" s="71"/>
      <c r="N757" t="str">
        <f>IFERROR(IF(VLOOKUP(Tb_Activiteiten[[#This Row],[Openstelling]],Tb_Openstelling[],2,0)=1,1,""),"")</f>
        <v/>
      </c>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25">
      <c r="A758" s="337"/>
      <c r="F758" s="79"/>
      <c r="G758" s="79"/>
      <c r="L758" s="71"/>
      <c r="N758" t="str">
        <f>IFERROR(IF(VLOOKUP(Tb_Activiteiten[[#This Row],[Openstelling]],Tb_Openstelling[],2,0)=1,1,""),"")</f>
        <v/>
      </c>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25">
      <c r="A759" s="337"/>
      <c r="F759" s="79"/>
      <c r="G759" s="79"/>
      <c r="L759" s="71"/>
      <c r="N759" t="str">
        <f>IFERROR(IF(VLOOKUP(Tb_Activiteiten[[#This Row],[Openstelling]],Tb_Openstelling[],2,0)=1,1,""),"")</f>
        <v/>
      </c>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25">
      <c r="A760" s="337"/>
      <c r="F760" s="79"/>
      <c r="G760" s="79"/>
      <c r="L760" s="71"/>
      <c r="N760" t="str">
        <f>IFERROR(IF(VLOOKUP(Tb_Activiteiten[[#This Row],[Openstelling]],Tb_Openstelling[],2,0)=1,1,""),"")</f>
        <v/>
      </c>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25">
      <c r="A761" s="337"/>
      <c r="F761" s="79"/>
      <c r="G761" s="79"/>
      <c r="L761" s="71"/>
      <c r="N761" t="str">
        <f>IFERROR(IF(VLOOKUP(Tb_Activiteiten[[#This Row],[Openstelling]],Tb_Openstelling[],2,0)=1,1,""),"")</f>
        <v/>
      </c>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25">
      <c r="A762" s="337"/>
      <c r="F762" s="79"/>
      <c r="G762" s="79"/>
      <c r="L762" s="71"/>
      <c r="N762" t="str">
        <f>IFERROR(IF(VLOOKUP(Tb_Activiteiten[[#This Row],[Openstelling]],Tb_Openstelling[],2,0)=1,1,""),"")</f>
        <v/>
      </c>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25">
      <c r="A763" s="337"/>
      <c r="F763" s="79"/>
      <c r="G763" s="79"/>
      <c r="L763" s="71"/>
      <c r="N763" t="str">
        <f>IFERROR(IF(VLOOKUP(Tb_Activiteiten[[#This Row],[Openstelling]],Tb_Openstelling[],2,0)=1,1,""),"")</f>
        <v/>
      </c>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25">
      <c r="A764" s="337"/>
      <c r="F764" s="79"/>
      <c r="G764" s="79"/>
      <c r="L764" s="71"/>
      <c r="N764" t="str">
        <f>IFERROR(IF(VLOOKUP(Tb_Activiteiten[[#This Row],[Openstelling]],Tb_Openstelling[],2,0)=1,1,""),"")</f>
        <v/>
      </c>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25">
      <c r="A765" s="337"/>
      <c r="F765" s="79"/>
      <c r="G765" s="79"/>
      <c r="L765" s="71"/>
      <c r="N765" t="str">
        <f>IFERROR(IF(VLOOKUP(Tb_Activiteiten[[#This Row],[Openstelling]],Tb_Openstelling[],2,0)=1,1,""),"")</f>
        <v/>
      </c>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25">
      <c r="A766" s="337"/>
      <c r="F766" s="79"/>
      <c r="G766" s="79"/>
      <c r="L766" s="71"/>
      <c r="N766" t="str">
        <f>IFERROR(IF(VLOOKUP(Tb_Activiteiten[[#This Row],[Openstelling]],Tb_Openstelling[],2,0)=1,1,""),"")</f>
        <v/>
      </c>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25">
      <c r="A767" s="337"/>
      <c r="F767" s="79"/>
      <c r="G767" s="79"/>
      <c r="L767" s="71"/>
      <c r="N767" t="str">
        <f>IFERROR(IF(VLOOKUP(Tb_Activiteiten[[#This Row],[Openstelling]],Tb_Openstelling[],2,0)=1,1,""),"")</f>
        <v/>
      </c>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25">
      <c r="A768" s="337"/>
      <c r="F768" s="79"/>
      <c r="G768" s="79"/>
      <c r="L768" s="71"/>
      <c r="N768" t="str">
        <f>IFERROR(IF(VLOOKUP(Tb_Activiteiten[[#This Row],[Openstelling]],Tb_Openstelling[],2,0)=1,1,""),"")</f>
        <v/>
      </c>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25">
      <c r="A769" s="337"/>
      <c r="F769" s="79"/>
      <c r="G769" s="79"/>
      <c r="L769" s="71"/>
      <c r="N769" t="str">
        <f>IFERROR(IF(VLOOKUP(Tb_Activiteiten[[#This Row],[Openstelling]],Tb_Openstelling[],2,0)=1,1,""),"")</f>
        <v/>
      </c>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25">
      <c r="A770" s="337"/>
      <c r="F770" s="79"/>
      <c r="G770" s="79"/>
      <c r="L770" s="71"/>
      <c r="N770" t="str">
        <f>IFERROR(IF(VLOOKUP(Tb_Activiteiten[[#This Row],[Openstelling]],Tb_Openstelling[],2,0)=1,1,""),"")</f>
        <v/>
      </c>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25">
      <c r="A771" s="337"/>
      <c r="F771" s="79"/>
      <c r="G771" s="79"/>
      <c r="L771" s="71"/>
      <c r="N771" t="str">
        <f>IFERROR(IF(VLOOKUP(Tb_Activiteiten[[#This Row],[Openstelling]],Tb_Openstelling[],2,0)=1,1,""),"")</f>
        <v/>
      </c>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25">
      <c r="A772" s="337"/>
      <c r="F772" s="79"/>
      <c r="G772" s="79"/>
      <c r="L772" s="71"/>
      <c r="N772" t="str">
        <f>IFERROR(IF(VLOOKUP(Tb_Activiteiten[[#This Row],[Openstelling]],Tb_Openstelling[],2,0)=1,1,""),"")</f>
        <v/>
      </c>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25">
      <c r="A773" s="337"/>
      <c r="F773" s="79"/>
      <c r="G773" s="79"/>
      <c r="L773" s="71"/>
      <c r="N773" t="str">
        <f>IFERROR(IF(VLOOKUP(Tb_Activiteiten[[#This Row],[Openstelling]],Tb_Openstelling[],2,0)=1,1,""),"")</f>
        <v/>
      </c>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25">
      <c r="A774" s="337"/>
      <c r="F774" s="79"/>
      <c r="G774" s="79"/>
      <c r="L774" s="71"/>
      <c r="N774" t="str">
        <f>IFERROR(IF(VLOOKUP(Tb_Activiteiten[[#This Row],[Openstelling]],Tb_Openstelling[],2,0)=1,1,""),"")</f>
        <v/>
      </c>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25">
      <c r="A775" s="337"/>
      <c r="F775" s="79"/>
      <c r="G775" s="79"/>
      <c r="L775" s="71"/>
      <c r="N775" t="str">
        <f>IFERROR(IF(VLOOKUP(Tb_Activiteiten[[#This Row],[Openstelling]],Tb_Openstelling[],2,0)=1,1,""),"")</f>
        <v/>
      </c>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25">
      <c r="A776" s="337"/>
      <c r="F776" s="79"/>
      <c r="G776" s="79"/>
      <c r="L776" s="71"/>
      <c r="N776" t="str">
        <f>IFERROR(IF(VLOOKUP(Tb_Activiteiten[[#This Row],[Openstelling]],Tb_Openstelling[],2,0)=1,1,""),"")</f>
        <v/>
      </c>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25">
      <c r="A777" s="337"/>
      <c r="F777" s="79"/>
      <c r="G777" s="79"/>
      <c r="L777" s="71"/>
      <c r="N777" t="str">
        <f>IFERROR(IF(VLOOKUP(Tb_Activiteiten[[#This Row],[Openstelling]],Tb_Openstelling[],2,0)=1,1,""),"")</f>
        <v/>
      </c>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25">
      <c r="A778" s="337"/>
      <c r="F778" s="79"/>
      <c r="G778" s="79"/>
      <c r="L778" s="71"/>
      <c r="N778" t="str">
        <f>IFERROR(IF(VLOOKUP(Tb_Activiteiten[[#This Row],[Openstelling]],Tb_Openstelling[],2,0)=1,1,""),"")</f>
        <v/>
      </c>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25">
      <c r="A779" s="337"/>
      <c r="F779" s="79"/>
      <c r="G779" s="79"/>
      <c r="L779" s="71"/>
      <c r="N779" t="str">
        <f>IFERROR(IF(VLOOKUP(Tb_Activiteiten[[#This Row],[Openstelling]],Tb_Openstelling[],2,0)=1,1,""),"")</f>
        <v/>
      </c>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25">
      <c r="A780" s="337"/>
      <c r="F780" s="79"/>
      <c r="G780" s="79"/>
      <c r="L780" s="71"/>
      <c r="N780" t="str">
        <f>IFERROR(IF(VLOOKUP(Tb_Activiteiten[[#This Row],[Openstelling]],Tb_Openstelling[],2,0)=1,1,""),"")</f>
        <v/>
      </c>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25">
      <c r="A781" s="337"/>
      <c r="F781" s="79"/>
      <c r="G781" s="79"/>
      <c r="L781" s="71"/>
      <c r="N781" t="str">
        <f>IFERROR(IF(VLOOKUP(Tb_Activiteiten[[#This Row],[Openstelling]],Tb_Openstelling[],2,0)=1,1,""),"")</f>
        <v/>
      </c>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25">
      <c r="A782" s="337"/>
      <c r="F782" s="79"/>
      <c r="G782" s="79"/>
      <c r="L782" s="71"/>
      <c r="N782" t="str">
        <f>IFERROR(IF(VLOOKUP(Tb_Activiteiten[[#This Row],[Openstelling]],Tb_Openstelling[],2,0)=1,1,""),"")</f>
        <v/>
      </c>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25">
      <c r="A783" s="337"/>
      <c r="F783" s="79"/>
      <c r="G783" s="79"/>
      <c r="L783" s="71"/>
      <c r="N783" t="str">
        <f>IFERROR(IF(VLOOKUP(Tb_Activiteiten[[#This Row],[Openstelling]],Tb_Openstelling[],2,0)=1,1,""),"")</f>
        <v/>
      </c>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25">
      <c r="A784" s="337"/>
      <c r="F784" s="79"/>
      <c r="G784" s="79"/>
      <c r="L784" s="71"/>
      <c r="N784" t="str">
        <f>IFERROR(IF(VLOOKUP(Tb_Activiteiten[[#This Row],[Openstelling]],Tb_Openstelling[],2,0)=1,1,""),"")</f>
        <v/>
      </c>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25">
      <c r="A785" s="337"/>
      <c r="F785" s="79"/>
      <c r="G785" s="79"/>
      <c r="L785" s="71"/>
      <c r="N785" t="str">
        <f>IFERROR(IF(VLOOKUP(Tb_Activiteiten[[#This Row],[Openstelling]],Tb_Openstelling[],2,0)=1,1,""),"")</f>
        <v/>
      </c>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25">
      <c r="A786" s="337"/>
      <c r="F786" s="79"/>
      <c r="G786" s="79"/>
      <c r="L786" s="71"/>
      <c r="N786" t="str">
        <f>IFERROR(IF(VLOOKUP(Tb_Activiteiten[[#This Row],[Openstelling]],Tb_Openstelling[],2,0)=1,1,""),"")</f>
        <v/>
      </c>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25">
      <c r="A787" s="337"/>
      <c r="F787" s="79"/>
      <c r="G787" s="79"/>
      <c r="L787" s="71"/>
      <c r="N787" t="str">
        <f>IFERROR(IF(VLOOKUP(Tb_Activiteiten[[#This Row],[Openstelling]],Tb_Openstelling[],2,0)=1,1,""),"")</f>
        <v/>
      </c>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25">
      <c r="A788" s="337"/>
      <c r="F788" s="79"/>
      <c r="G788" s="79"/>
      <c r="L788" s="71"/>
      <c r="N788" t="str">
        <f>IFERROR(IF(VLOOKUP(Tb_Activiteiten[[#This Row],[Openstelling]],Tb_Openstelling[],2,0)=1,1,""),"")</f>
        <v/>
      </c>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25">
      <c r="A789" s="337"/>
      <c r="F789" s="79"/>
      <c r="G789" s="79"/>
      <c r="L789" s="71"/>
      <c r="N789" t="str">
        <f>IFERROR(IF(VLOOKUP(Tb_Activiteiten[[#This Row],[Openstelling]],Tb_Openstelling[],2,0)=1,1,""),"")</f>
        <v/>
      </c>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25">
      <c r="A790" s="337"/>
      <c r="F790" s="79"/>
      <c r="G790" s="79"/>
      <c r="L790" s="71"/>
      <c r="N790" t="str">
        <f>IFERROR(IF(VLOOKUP(Tb_Activiteiten[[#This Row],[Openstelling]],Tb_Openstelling[],2,0)=1,1,""),"")</f>
        <v/>
      </c>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25">
      <c r="A791" s="337"/>
      <c r="F791" s="79"/>
      <c r="G791" s="79"/>
      <c r="L791" s="71"/>
      <c r="N791" t="str">
        <f>IFERROR(IF(VLOOKUP(Tb_Activiteiten[[#This Row],[Openstelling]],Tb_Openstelling[],2,0)=1,1,""),"")</f>
        <v/>
      </c>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25">
      <c r="A792" s="337"/>
      <c r="F792" s="79"/>
      <c r="G792" s="79"/>
      <c r="L792" s="71"/>
      <c r="N792" t="str">
        <f>IFERROR(IF(VLOOKUP(Tb_Activiteiten[[#This Row],[Openstelling]],Tb_Openstelling[],2,0)=1,1,""),"")</f>
        <v/>
      </c>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25">
      <c r="A793" s="337"/>
      <c r="F793" s="79"/>
      <c r="G793" s="79"/>
      <c r="L793" s="71"/>
      <c r="N793" t="str">
        <f>IFERROR(IF(VLOOKUP(Tb_Activiteiten[[#This Row],[Openstelling]],Tb_Openstelling[],2,0)=1,1,""),"")</f>
        <v/>
      </c>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25">
      <c r="A794" s="337"/>
      <c r="F794" s="79"/>
      <c r="G794" s="79"/>
      <c r="L794" s="71"/>
      <c r="N794" t="str">
        <f>IFERROR(IF(VLOOKUP(Tb_Activiteiten[[#This Row],[Openstelling]],Tb_Openstelling[],2,0)=1,1,""),"")</f>
        <v/>
      </c>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25">
      <c r="A795" s="337"/>
      <c r="F795" s="79"/>
      <c r="G795" s="79"/>
      <c r="L795" s="71"/>
      <c r="N795" t="str">
        <f>IFERROR(IF(VLOOKUP(Tb_Activiteiten[[#This Row],[Openstelling]],Tb_Openstelling[],2,0)=1,1,""),"")</f>
        <v/>
      </c>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25">
      <c r="A796" s="337"/>
      <c r="F796" s="79"/>
      <c r="G796" s="79"/>
      <c r="L796" s="71"/>
      <c r="N796" t="str">
        <f>IFERROR(IF(VLOOKUP(Tb_Activiteiten[[#This Row],[Openstelling]],Tb_Openstelling[],2,0)=1,1,""),"")</f>
        <v/>
      </c>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25">
      <c r="A797" s="337"/>
      <c r="F797" s="79"/>
      <c r="G797" s="79"/>
      <c r="L797" s="71"/>
      <c r="N797" t="str">
        <f>IFERROR(IF(VLOOKUP(Tb_Activiteiten[[#This Row],[Openstelling]],Tb_Openstelling[],2,0)=1,1,""),"")</f>
        <v/>
      </c>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25">
      <c r="A798" s="337"/>
      <c r="F798" s="79"/>
      <c r="G798" s="79"/>
      <c r="L798" s="71"/>
      <c r="N798" t="str">
        <f>IFERROR(IF(VLOOKUP(Tb_Activiteiten[[#This Row],[Openstelling]],Tb_Openstelling[],2,0)=1,1,""),"")</f>
        <v/>
      </c>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25">
      <c r="A799" s="337"/>
      <c r="F799" s="79"/>
      <c r="G799" s="79"/>
      <c r="L799" s="71"/>
      <c r="N799" t="str">
        <f>IFERROR(IF(VLOOKUP(Tb_Activiteiten[[#This Row],[Openstelling]],Tb_Openstelling[],2,0)=1,1,""),"")</f>
        <v/>
      </c>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25">
      <c r="A800" s="337"/>
      <c r="F800" s="79"/>
      <c r="G800" s="79"/>
      <c r="L800" s="71"/>
      <c r="N800" t="str">
        <f>IFERROR(IF(VLOOKUP(Tb_Activiteiten[[#This Row],[Openstelling]],Tb_Openstelling[],2,0)=1,1,""),"")</f>
        <v/>
      </c>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25">
      <c r="A801" s="337"/>
      <c r="F801" s="79"/>
      <c r="G801" s="79"/>
      <c r="L801" s="71"/>
      <c r="N801" t="str">
        <f>IFERROR(IF(VLOOKUP(Tb_Activiteiten[[#This Row],[Openstelling]],Tb_Openstelling[],2,0)=1,1,""),"")</f>
        <v/>
      </c>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25">
      <c r="A802" s="337"/>
      <c r="F802" s="79"/>
      <c r="G802" s="79"/>
      <c r="L802" s="71"/>
      <c r="N802" t="str">
        <f>IFERROR(IF(VLOOKUP(Tb_Activiteiten[[#This Row],[Openstelling]],Tb_Openstelling[],2,0)=1,1,""),"")</f>
        <v/>
      </c>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25">
      <c r="A803" s="337"/>
      <c r="F803" s="79"/>
      <c r="G803" s="79"/>
      <c r="L803" s="71"/>
      <c r="N803" t="str">
        <f>IFERROR(IF(VLOOKUP(Tb_Activiteiten[[#This Row],[Openstelling]],Tb_Openstelling[],2,0)=1,1,""),"")</f>
        <v/>
      </c>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25">
      <c r="A804" s="337"/>
      <c r="F804" s="79"/>
      <c r="G804" s="79"/>
      <c r="L804" s="71"/>
      <c r="N804" t="str">
        <f>IFERROR(IF(VLOOKUP(Tb_Activiteiten[[#This Row],[Openstelling]],Tb_Openstelling[],2,0)=1,1,""),"")</f>
        <v/>
      </c>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25">
      <c r="A805" s="337"/>
      <c r="F805" s="79"/>
      <c r="G805" s="79"/>
      <c r="L805" s="71"/>
      <c r="N805" t="str">
        <f>IFERROR(IF(VLOOKUP(Tb_Activiteiten[[#This Row],[Openstelling]],Tb_Openstelling[],2,0)=1,1,""),"")</f>
        <v/>
      </c>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25">
      <c r="A806" s="337"/>
      <c r="F806" s="79"/>
      <c r="G806" s="79"/>
      <c r="L806" s="71"/>
      <c r="N806" t="str">
        <f>IFERROR(IF(VLOOKUP(Tb_Activiteiten[[#This Row],[Openstelling]],Tb_Openstelling[],2,0)=1,1,""),"")</f>
        <v/>
      </c>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25">
      <c r="A807" s="337"/>
      <c r="F807" s="79"/>
      <c r="G807" s="79"/>
      <c r="L807" s="71"/>
      <c r="N807" t="str">
        <f>IFERROR(IF(VLOOKUP(Tb_Activiteiten[[#This Row],[Openstelling]],Tb_Openstelling[],2,0)=1,1,""),"")</f>
        <v/>
      </c>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25">
      <c r="A808" s="337"/>
      <c r="F808" s="79"/>
      <c r="G808" s="79"/>
      <c r="L808" s="71"/>
      <c r="N808" t="str">
        <f>IFERROR(IF(VLOOKUP(Tb_Activiteiten[[#This Row],[Openstelling]],Tb_Openstelling[],2,0)=1,1,""),"")</f>
        <v/>
      </c>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25">
      <c r="A809" s="337"/>
      <c r="F809" s="79"/>
      <c r="G809" s="79"/>
      <c r="L809" s="71"/>
      <c r="N809" t="str">
        <f>IFERROR(IF(VLOOKUP(Tb_Activiteiten[[#This Row],[Openstelling]],Tb_Openstelling[],2,0)=1,1,""),"")</f>
        <v/>
      </c>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25">
      <c r="A810" s="337"/>
      <c r="F810" s="79"/>
      <c r="G810" s="79"/>
      <c r="L810" s="71"/>
      <c r="N810" t="str">
        <f>IFERROR(IF(VLOOKUP(Tb_Activiteiten[[#This Row],[Openstelling]],Tb_Openstelling[],2,0)=1,1,""),"")</f>
        <v/>
      </c>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25">
      <c r="A811" s="337"/>
      <c r="F811" s="79"/>
      <c r="G811" s="79"/>
      <c r="L811" s="71"/>
      <c r="N811" t="str">
        <f>IFERROR(IF(VLOOKUP(Tb_Activiteiten[[#This Row],[Openstelling]],Tb_Openstelling[],2,0)=1,1,""),"")</f>
        <v/>
      </c>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25">
      <c r="A812" s="337"/>
      <c r="F812" s="79"/>
      <c r="G812" s="79"/>
      <c r="L812" s="71"/>
      <c r="N812" t="str">
        <f>IFERROR(IF(VLOOKUP(Tb_Activiteiten[[#This Row],[Openstelling]],Tb_Openstelling[],2,0)=1,1,""),"")</f>
        <v/>
      </c>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25">
      <c r="A813" s="337"/>
      <c r="F813" s="79"/>
      <c r="G813" s="79"/>
      <c r="L813" s="71"/>
      <c r="N813" t="str">
        <f>IFERROR(IF(VLOOKUP(Tb_Activiteiten[[#This Row],[Openstelling]],Tb_Openstelling[],2,0)=1,1,""),"")</f>
        <v/>
      </c>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25">
      <c r="A814" s="337"/>
      <c r="F814" s="79"/>
      <c r="G814" s="79"/>
      <c r="L814" s="71"/>
      <c r="N814" t="str">
        <f>IFERROR(IF(VLOOKUP(Tb_Activiteiten[[#This Row],[Openstelling]],Tb_Openstelling[],2,0)=1,1,""),"")</f>
        <v/>
      </c>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25">
      <c r="A815" s="337"/>
      <c r="F815" s="79"/>
      <c r="G815" s="79"/>
      <c r="L815" s="71"/>
      <c r="N815" t="str">
        <f>IFERROR(IF(VLOOKUP(Tb_Activiteiten[[#This Row],[Openstelling]],Tb_Openstelling[],2,0)=1,1,""),"")</f>
        <v/>
      </c>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25">
      <c r="A816" s="337"/>
      <c r="F816" s="79"/>
      <c r="G816" s="79"/>
      <c r="L816" s="71"/>
      <c r="N816" t="str">
        <f>IFERROR(IF(VLOOKUP(Tb_Activiteiten[[#This Row],[Openstelling]],Tb_Openstelling[],2,0)=1,1,""),"")</f>
        <v/>
      </c>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25">
      <c r="A817" s="337"/>
      <c r="F817" s="79"/>
      <c r="G817" s="79"/>
      <c r="L817" s="71"/>
      <c r="N817" t="str">
        <f>IFERROR(IF(VLOOKUP(Tb_Activiteiten[[#This Row],[Openstelling]],Tb_Openstelling[],2,0)=1,1,""),"")</f>
        <v/>
      </c>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25">
      <c r="A818" s="337"/>
      <c r="F818" s="79"/>
      <c r="G818" s="79"/>
      <c r="L818" s="71"/>
      <c r="N818" t="str">
        <f>IFERROR(IF(VLOOKUP(Tb_Activiteiten[[#This Row],[Openstelling]],Tb_Openstelling[],2,0)=1,1,""),"")</f>
        <v/>
      </c>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25">
      <c r="A819" s="337"/>
      <c r="F819" s="79"/>
      <c r="G819" s="79"/>
      <c r="L819" s="71"/>
      <c r="N819" t="str">
        <f>IFERROR(IF(VLOOKUP(Tb_Activiteiten[[#This Row],[Openstelling]],Tb_Openstelling[],2,0)=1,1,""),"")</f>
        <v/>
      </c>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25">
      <c r="A820" s="337"/>
      <c r="F820" s="79"/>
      <c r="G820" s="79"/>
      <c r="L820" s="71"/>
      <c r="N820" t="str">
        <f>IFERROR(IF(VLOOKUP(Tb_Activiteiten[[#This Row],[Openstelling]],Tb_Openstelling[],2,0)=1,1,""),"")</f>
        <v/>
      </c>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25">
      <c r="A821" s="337"/>
      <c r="F821" s="79"/>
      <c r="G821" s="79"/>
      <c r="L821" s="71"/>
      <c r="N821" t="str">
        <f>IFERROR(IF(VLOOKUP(Tb_Activiteiten[[#This Row],[Openstelling]],Tb_Openstelling[],2,0)=1,1,""),"")</f>
        <v/>
      </c>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25">
      <c r="A822" s="337"/>
      <c r="F822" s="79"/>
      <c r="G822" s="79"/>
      <c r="L822" s="71"/>
      <c r="N822" t="str">
        <f>IFERROR(IF(VLOOKUP(Tb_Activiteiten[[#This Row],[Openstelling]],Tb_Openstelling[],2,0)=1,1,""),"")</f>
        <v/>
      </c>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25">
      <c r="A823" s="337"/>
      <c r="F823" s="79"/>
      <c r="G823" s="79"/>
      <c r="L823" s="71"/>
      <c r="N823" t="str">
        <f>IFERROR(IF(VLOOKUP(Tb_Activiteiten[[#This Row],[Openstelling]],Tb_Openstelling[],2,0)=1,1,""),"")</f>
        <v/>
      </c>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25">
      <c r="A824" s="337"/>
      <c r="F824" s="79"/>
      <c r="G824" s="79"/>
      <c r="L824" s="71"/>
      <c r="N824" t="str">
        <f>IFERROR(IF(VLOOKUP(Tb_Activiteiten[[#This Row],[Openstelling]],Tb_Openstelling[],2,0)=1,1,""),"")</f>
        <v/>
      </c>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25">
      <c r="A825" s="337"/>
      <c r="F825" s="79"/>
      <c r="G825" s="79"/>
      <c r="L825" s="71"/>
      <c r="N825" t="str">
        <f>IFERROR(IF(VLOOKUP(Tb_Activiteiten[[#This Row],[Openstelling]],Tb_Openstelling[],2,0)=1,1,""),"")</f>
        <v/>
      </c>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25">
      <c r="A826" s="337"/>
      <c r="F826" s="79"/>
      <c r="G826" s="79"/>
      <c r="L826" s="71"/>
      <c r="N826" t="str">
        <f>IFERROR(IF(VLOOKUP(Tb_Activiteiten[[#This Row],[Openstelling]],Tb_Openstelling[],2,0)=1,1,""),"")</f>
        <v/>
      </c>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25">
      <c r="A827" s="337"/>
      <c r="F827" s="79"/>
      <c r="G827" s="79"/>
      <c r="L827" s="71"/>
      <c r="N827" t="str">
        <f>IFERROR(IF(VLOOKUP(Tb_Activiteiten[[#This Row],[Openstelling]],Tb_Openstelling[],2,0)=1,1,""),"")</f>
        <v/>
      </c>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25">
      <c r="A828" s="337"/>
      <c r="F828" s="79"/>
      <c r="G828" s="79"/>
      <c r="L828" s="71"/>
      <c r="N828" t="str">
        <f>IFERROR(IF(VLOOKUP(Tb_Activiteiten[[#This Row],[Openstelling]],Tb_Openstelling[],2,0)=1,1,""),"")</f>
        <v/>
      </c>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25">
      <c r="A829" s="337"/>
      <c r="F829" s="79"/>
      <c r="G829" s="79"/>
      <c r="L829" s="71"/>
      <c r="N829" t="str">
        <f>IFERROR(IF(VLOOKUP(Tb_Activiteiten[[#This Row],[Openstelling]],Tb_Openstelling[],2,0)=1,1,""),"")</f>
        <v/>
      </c>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25">
      <c r="A830" s="337"/>
      <c r="F830" s="79"/>
      <c r="G830" s="79"/>
      <c r="L830" s="71"/>
      <c r="N830" t="str">
        <f>IFERROR(IF(VLOOKUP(Tb_Activiteiten[[#This Row],[Openstelling]],Tb_Openstelling[],2,0)=1,1,""),"")</f>
        <v/>
      </c>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25">
      <c r="A831" s="337"/>
      <c r="F831" s="79"/>
      <c r="G831" s="79"/>
      <c r="L831" s="71"/>
      <c r="N831" t="str">
        <f>IFERROR(IF(VLOOKUP(Tb_Activiteiten[[#This Row],[Openstelling]],Tb_Openstelling[],2,0)=1,1,""),"")</f>
        <v/>
      </c>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25">
      <c r="A832" s="337"/>
      <c r="F832" s="79"/>
      <c r="G832" s="79"/>
      <c r="L832" s="71"/>
      <c r="N832" t="str">
        <f>IFERROR(IF(VLOOKUP(Tb_Activiteiten[[#This Row],[Openstelling]],Tb_Openstelling[],2,0)=1,1,""),"")</f>
        <v/>
      </c>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25">
      <c r="A833" s="337"/>
      <c r="F833" s="79"/>
      <c r="G833" s="79"/>
      <c r="L833" s="71"/>
      <c r="N833" t="str">
        <f>IFERROR(IF(VLOOKUP(Tb_Activiteiten[[#This Row],[Openstelling]],Tb_Openstelling[],2,0)=1,1,""),"")</f>
        <v/>
      </c>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25">
      <c r="A834" s="337"/>
      <c r="F834" s="79"/>
      <c r="G834" s="79"/>
      <c r="L834" s="71"/>
      <c r="N834" t="str">
        <f>IFERROR(IF(VLOOKUP(Tb_Activiteiten[[#This Row],[Openstelling]],Tb_Openstelling[],2,0)=1,1,""),"")</f>
        <v/>
      </c>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25">
      <c r="A835" s="337"/>
      <c r="F835" s="79"/>
      <c r="G835" s="79"/>
      <c r="L835" s="71"/>
      <c r="N835" t="str">
        <f>IFERROR(IF(VLOOKUP(Tb_Activiteiten[[#This Row],[Openstelling]],Tb_Openstelling[],2,0)=1,1,""),"")</f>
        <v/>
      </c>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25">
      <c r="A836" s="337"/>
      <c r="F836" s="79"/>
      <c r="G836" s="79"/>
      <c r="L836" s="71"/>
      <c r="N836" t="str">
        <f>IFERROR(IF(VLOOKUP(Tb_Activiteiten[[#This Row],[Openstelling]],Tb_Openstelling[],2,0)=1,1,""),"")</f>
        <v/>
      </c>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25">
      <c r="A837" s="337"/>
      <c r="F837" s="79"/>
      <c r="G837" s="79"/>
      <c r="L837" s="71"/>
      <c r="N837" t="str">
        <f>IFERROR(IF(VLOOKUP(Tb_Activiteiten[[#This Row],[Openstelling]],Tb_Openstelling[],2,0)=1,1,""),"")</f>
        <v/>
      </c>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25">
      <c r="A838" s="337"/>
      <c r="F838" s="79"/>
      <c r="G838" s="79"/>
      <c r="L838" s="71"/>
      <c r="N838" t="str">
        <f>IFERROR(IF(VLOOKUP(Tb_Activiteiten[[#This Row],[Openstelling]],Tb_Openstelling[],2,0)=1,1,""),"")</f>
        <v/>
      </c>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25">
      <c r="A839" s="337"/>
      <c r="F839" s="79"/>
      <c r="G839" s="79"/>
      <c r="L839" s="71"/>
      <c r="N839" t="str">
        <f>IFERROR(IF(VLOOKUP(Tb_Activiteiten[[#This Row],[Openstelling]],Tb_Openstelling[],2,0)=1,1,""),"")</f>
        <v/>
      </c>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25">
      <c r="A840" s="337"/>
      <c r="F840" s="79"/>
      <c r="G840" s="79"/>
      <c r="L840" s="71"/>
      <c r="N840" t="str">
        <f>IFERROR(IF(VLOOKUP(Tb_Activiteiten[[#This Row],[Openstelling]],Tb_Openstelling[],2,0)=1,1,""),"")</f>
        <v/>
      </c>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25">
      <c r="A841" s="337"/>
      <c r="F841" s="79"/>
      <c r="G841" s="79"/>
      <c r="L841" s="71"/>
      <c r="N841" t="str">
        <f>IFERROR(IF(VLOOKUP(Tb_Activiteiten[[#This Row],[Openstelling]],Tb_Openstelling[],2,0)=1,1,""),"")</f>
        <v/>
      </c>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25">
      <c r="A842" s="337"/>
      <c r="F842" s="79"/>
      <c r="G842" s="79"/>
      <c r="L842" s="71"/>
      <c r="N842" t="str">
        <f>IFERROR(IF(VLOOKUP(Tb_Activiteiten[[#This Row],[Openstelling]],Tb_Openstelling[],2,0)=1,1,""),"")</f>
        <v/>
      </c>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25">
      <c r="A843" s="337"/>
      <c r="F843" s="79"/>
      <c r="G843" s="79"/>
      <c r="L843" s="71"/>
      <c r="N843" t="str">
        <f>IFERROR(IF(VLOOKUP(Tb_Activiteiten[[#This Row],[Openstelling]],Tb_Openstelling[],2,0)=1,1,""),"")</f>
        <v/>
      </c>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25">
      <c r="A844" s="337"/>
      <c r="F844" s="79"/>
      <c r="G844" s="79"/>
      <c r="L844" s="71"/>
      <c r="N844" t="str">
        <f>IFERROR(IF(VLOOKUP(Tb_Activiteiten[[#This Row],[Openstelling]],Tb_Openstelling[],2,0)=1,1,""),"")</f>
        <v/>
      </c>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25">
      <c r="A845" s="337"/>
      <c r="F845" s="79"/>
      <c r="G845" s="79"/>
      <c r="L845" s="71"/>
      <c r="N845" t="str">
        <f>IFERROR(IF(VLOOKUP(Tb_Activiteiten[[#This Row],[Openstelling]],Tb_Openstelling[],2,0)=1,1,""),"")</f>
        <v/>
      </c>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25">
      <c r="A846" s="337"/>
      <c r="F846" s="79"/>
      <c r="G846" s="79"/>
      <c r="L846" s="71"/>
      <c r="N846" t="str">
        <f>IFERROR(IF(VLOOKUP(Tb_Activiteiten[[#This Row],[Openstelling]],Tb_Openstelling[],2,0)=1,1,""),"")</f>
        <v/>
      </c>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25">
      <c r="A847" s="337"/>
      <c r="F847" s="79"/>
      <c r="G847" s="79"/>
      <c r="L847" s="71"/>
      <c r="N847" t="str">
        <f>IFERROR(IF(VLOOKUP(Tb_Activiteiten[[#This Row],[Openstelling]],Tb_Openstelling[],2,0)=1,1,""),"")</f>
        <v/>
      </c>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25">
      <c r="A848" s="337"/>
      <c r="F848" s="79"/>
      <c r="G848" s="79"/>
      <c r="L848" s="71"/>
      <c r="N848" t="str">
        <f>IFERROR(IF(VLOOKUP(Tb_Activiteiten[[#This Row],[Openstelling]],Tb_Openstelling[],2,0)=1,1,""),"")</f>
        <v/>
      </c>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25">
      <c r="A849" s="337"/>
      <c r="F849" s="79"/>
      <c r="G849" s="79"/>
      <c r="L849" s="71"/>
      <c r="N849" t="str">
        <f>IFERROR(IF(VLOOKUP(Tb_Activiteiten[[#This Row],[Openstelling]],Tb_Openstelling[],2,0)=1,1,""),"")</f>
        <v/>
      </c>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25">
      <c r="A850" s="337"/>
      <c r="F850" s="79"/>
      <c r="G850" s="79"/>
      <c r="L850" s="71"/>
      <c r="N850" t="str">
        <f>IFERROR(IF(VLOOKUP(Tb_Activiteiten[[#This Row],[Openstelling]],Tb_Openstelling[],2,0)=1,1,""),"")</f>
        <v/>
      </c>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25">
      <c r="A851" s="337"/>
      <c r="F851" s="79"/>
      <c r="G851" s="79"/>
      <c r="L851" s="71"/>
      <c r="N851" t="str">
        <f>IFERROR(IF(VLOOKUP(Tb_Activiteiten[[#This Row],[Openstelling]],Tb_Openstelling[],2,0)=1,1,""),"")</f>
        <v/>
      </c>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25">
      <c r="A852" s="337"/>
      <c r="F852" s="79"/>
      <c r="G852" s="79"/>
      <c r="L852" s="71"/>
      <c r="N852" t="str">
        <f>IFERROR(IF(VLOOKUP(Tb_Activiteiten[[#This Row],[Openstelling]],Tb_Openstelling[],2,0)=1,1,""),"")</f>
        <v/>
      </c>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25">
      <c r="A853" s="337"/>
      <c r="F853" s="79"/>
      <c r="G853" s="79"/>
      <c r="L853" s="71"/>
      <c r="N853" t="str">
        <f>IFERROR(IF(VLOOKUP(Tb_Activiteiten[[#This Row],[Openstelling]],Tb_Openstelling[],2,0)=1,1,""),"")</f>
        <v/>
      </c>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25">
      <c r="A854" s="337"/>
      <c r="F854" s="79"/>
      <c r="G854" s="79"/>
      <c r="L854" s="71"/>
      <c r="N854" t="str">
        <f>IFERROR(IF(VLOOKUP(Tb_Activiteiten[[#This Row],[Openstelling]],Tb_Openstelling[],2,0)=1,1,""),"")</f>
        <v/>
      </c>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25">
      <c r="A855" s="337"/>
      <c r="F855" s="79"/>
      <c r="G855" s="79"/>
      <c r="L855" s="71"/>
      <c r="N855" t="str">
        <f>IFERROR(IF(VLOOKUP(Tb_Activiteiten[[#This Row],[Openstelling]],Tb_Openstelling[],2,0)=1,1,""),"")</f>
        <v/>
      </c>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25">
      <c r="A856" s="337"/>
      <c r="F856" s="79"/>
      <c r="G856" s="79"/>
      <c r="L856" s="71"/>
      <c r="N856" t="str">
        <f>IFERROR(IF(VLOOKUP(Tb_Activiteiten[[#This Row],[Openstelling]],Tb_Openstelling[],2,0)=1,1,""),"")</f>
        <v/>
      </c>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25">
      <c r="A857" s="337"/>
      <c r="F857" s="79"/>
      <c r="G857" s="79"/>
      <c r="L857" s="71"/>
      <c r="N857" t="str">
        <f>IFERROR(IF(VLOOKUP(Tb_Activiteiten[[#This Row],[Openstelling]],Tb_Openstelling[],2,0)=1,1,""),"")</f>
        <v/>
      </c>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25">
      <c r="A858" s="337"/>
      <c r="F858" s="79"/>
      <c r="G858" s="79"/>
      <c r="L858" s="71"/>
      <c r="N858" t="str">
        <f>IFERROR(IF(VLOOKUP(Tb_Activiteiten[[#This Row],[Openstelling]],Tb_Openstelling[],2,0)=1,1,""),"")</f>
        <v/>
      </c>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25">
      <c r="A859" s="337"/>
      <c r="F859" s="79"/>
      <c r="G859" s="79"/>
      <c r="L859" s="71"/>
      <c r="N859" t="str">
        <f>IFERROR(IF(VLOOKUP(Tb_Activiteiten[[#This Row],[Openstelling]],Tb_Openstelling[],2,0)=1,1,""),"")</f>
        <v/>
      </c>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25">
      <c r="A860" s="337"/>
      <c r="F860" s="79"/>
      <c r="G860" s="79"/>
      <c r="L860" s="71"/>
      <c r="N860" t="str">
        <f>IFERROR(IF(VLOOKUP(Tb_Activiteiten[[#This Row],[Openstelling]],Tb_Openstelling[],2,0)=1,1,""),"")</f>
        <v/>
      </c>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25">
      <c r="A861" s="337"/>
      <c r="F861" s="79"/>
      <c r="G861" s="79"/>
      <c r="L861" s="71"/>
      <c r="N861" t="str">
        <f>IFERROR(IF(VLOOKUP(Tb_Activiteiten[[#This Row],[Openstelling]],Tb_Openstelling[],2,0)=1,1,""),"")</f>
        <v/>
      </c>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25">
      <c r="A862" s="337"/>
      <c r="F862" s="79"/>
      <c r="G862" s="79"/>
      <c r="L862" s="71"/>
      <c r="N862" t="str">
        <f>IFERROR(IF(VLOOKUP(Tb_Activiteiten[[#This Row],[Openstelling]],Tb_Openstelling[],2,0)=1,1,""),"")</f>
        <v/>
      </c>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25">
      <c r="A863" s="337"/>
      <c r="F863" s="79"/>
      <c r="G863" s="79"/>
      <c r="L863" s="71"/>
      <c r="N863" t="str">
        <f>IFERROR(IF(VLOOKUP(Tb_Activiteiten[[#This Row],[Openstelling]],Tb_Openstelling[],2,0)=1,1,""),"")</f>
        <v/>
      </c>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25">
      <c r="A864" s="337"/>
      <c r="F864" s="79"/>
      <c r="G864" s="79"/>
      <c r="L864" s="71"/>
      <c r="N864" t="str">
        <f>IFERROR(IF(VLOOKUP(Tb_Activiteiten[[#This Row],[Openstelling]],Tb_Openstelling[],2,0)=1,1,""),"")</f>
        <v/>
      </c>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25">
      <c r="A865" s="337"/>
      <c r="F865" s="79"/>
      <c r="G865" s="79"/>
      <c r="L865" s="71"/>
      <c r="N865" t="str">
        <f>IFERROR(IF(VLOOKUP(Tb_Activiteiten[[#This Row],[Openstelling]],Tb_Openstelling[],2,0)=1,1,""),"")</f>
        <v/>
      </c>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25">
      <c r="A866" s="337"/>
      <c r="F866" s="79"/>
      <c r="G866" s="79"/>
      <c r="L866" s="71"/>
      <c r="N866" t="str">
        <f>IFERROR(IF(VLOOKUP(Tb_Activiteiten[[#This Row],[Openstelling]],Tb_Openstelling[],2,0)=1,1,""),"")</f>
        <v/>
      </c>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25">
      <c r="A867" s="337"/>
      <c r="F867" s="79"/>
      <c r="G867" s="79"/>
      <c r="L867" s="71"/>
      <c r="N867" t="str">
        <f>IFERROR(IF(VLOOKUP(Tb_Activiteiten[[#This Row],[Openstelling]],Tb_Openstelling[],2,0)=1,1,""),"")</f>
        <v/>
      </c>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25">
      <c r="A868" s="337"/>
      <c r="F868" s="79"/>
      <c r="G868" s="79"/>
      <c r="L868" s="71"/>
      <c r="N868" t="str">
        <f>IFERROR(IF(VLOOKUP(Tb_Activiteiten[[#This Row],[Openstelling]],Tb_Openstelling[],2,0)=1,1,""),"")</f>
        <v/>
      </c>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25">
      <c r="A869" s="337"/>
      <c r="F869" s="79"/>
      <c r="G869" s="79"/>
      <c r="L869" s="71"/>
      <c r="N869" t="str">
        <f>IFERROR(IF(VLOOKUP(Tb_Activiteiten[[#This Row],[Openstelling]],Tb_Openstelling[],2,0)=1,1,""),"")</f>
        <v/>
      </c>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25">
      <c r="A870" s="337"/>
      <c r="F870" s="79"/>
      <c r="G870" s="79"/>
      <c r="L870" s="71"/>
      <c r="N870" t="str">
        <f>IFERROR(IF(VLOOKUP(Tb_Activiteiten[[#This Row],[Openstelling]],Tb_Openstelling[],2,0)=1,1,""),"")</f>
        <v/>
      </c>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25">
      <c r="A871" s="337"/>
      <c r="F871" s="79"/>
      <c r="G871" s="79"/>
      <c r="L871" s="71"/>
      <c r="N871" t="str">
        <f>IFERROR(IF(VLOOKUP(Tb_Activiteiten[[#This Row],[Openstelling]],Tb_Openstelling[],2,0)=1,1,""),"")</f>
        <v/>
      </c>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25">
      <c r="A872" s="337"/>
      <c r="F872" s="79"/>
      <c r="G872" s="79"/>
      <c r="L872" s="71"/>
      <c r="N872" t="str">
        <f>IFERROR(IF(VLOOKUP(Tb_Activiteiten[[#This Row],[Openstelling]],Tb_Openstelling[],2,0)=1,1,""),"")</f>
        <v/>
      </c>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25">
      <c r="A873" s="337"/>
      <c r="F873" s="79"/>
      <c r="G873" s="79"/>
      <c r="L873" s="71"/>
      <c r="N873" t="str">
        <f>IFERROR(IF(VLOOKUP(Tb_Activiteiten[[#This Row],[Openstelling]],Tb_Openstelling[],2,0)=1,1,""),"")</f>
        <v/>
      </c>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25">
      <c r="A874" s="337"/>
      <c r="F874" s="79"/>
      <c r="G874" s="79"/>
      <c r="L874" s="71"/>
      <c r="N874" t="str">
        <f>IFERROR(IF(VLOOKUP(Tb_Activiteiten[[#This Row],[Openstelling]],Tb_Openstelling[],2,0)=1,1,""),"")</f>
        <v/>
      </c>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25">
      <c r="A875" s="337"/>
      <c r="F875" s="79"/>
      <c r="G875" s="79"/>
      <c r="L875" s="71"/>
      <c r="N875" t="str">
        <f>IFERROR(IF(VLOOKUP(Tb_Activiteiten[[#This Row],[Openstelling]],Tb_Openstelling[],2,0)=1,1,""),"")</f>
        <v/>
      </c>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25">
      <c r="A876" s="337"/>
      <c r="F876" s="79"/>
      <c r="G876" s="79"/>
      <c r="L876" s="71"/>
      <c r="N876" t="str">
        <f>IFERROR(IF(VLOOKUP(Tb_Activiteiten[[#This Row],[Openstelling]],Tb_Openstelling[],2,0)=1,1,""),"")</f>
        <v/>
      </c>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25">
      <c r="A877" s="337"/>
      <c r="F877" s="79"/>
      <c r="G877" s="79"/>
      <c r="L877" s="71"/>
      <c r="N877" t="str">
        <f>IFERROR(IF(VLOOKUP(Tb_Activiteiten[[#This Row],[Openstelling]],Tb_Openstelling[],2,0)=1,1,""),"")</f>
        <v/>
      </c>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25">
      <c r="A878" s="337"/>
      <c r="F878" s="79"/>
      <c r="G878" s="79"/>
      <c r="L878" s="71"/>
      <c r="N878" t="str">
        <f>IFERROR(IF(VLOOKUP(Tb_Activiteiten[[#This Row],[Openstelling]],Tb_Openstelling[],2,0)=1,1,""),"")</f>
        <v/>
      </c>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25">
      <c r="A879" s="337"/>
      <c r="F879" s="79"/>
      <c r="G879" s="79"/>
      <c r="L879" s="71"/>
      <c r="N879" t="str">
        <f>IFERROR(IF(VLOOKUP(Tb_Activiteiten[[#This Row],[Openstelling]],Tb_Openstelling[],2,0)=1,1,""),"")</f>
        <v/>
      </c>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25">
      <c r="A880" s="337"/>
      <c r="F880" s="79"/>
      <c r="G880" s="79"/>
      <c r="L880" s="71"/>
      <c r="N880" t="str">
        <f>IFERROR(IF(VLOOKUP(Tb_Activiteiten[[#This Row],[Openstelling]],Tb_Openstelling[],2,0)=1,1,""),"")</f>
        <v/>
      </c>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25">
      <c r="A881" s="337"/>
      <c r="F881" s="79"/>
      <c r="G881" s="79"/>
      <c r="L881" s="71"/>
      <c r="N881" t="str">
        <f>IFERROR(IF(VLOOKUP(Tb_Activiteiten[[#This Row],[Openstelling]],Tb_Openstelling[],2,0)=1,1,""),"")</f>
        <v/>
      </c>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25">
      <c r="A882" s="337"/>
      <c r="F882" s="79"/>
      <c r="G882" s="79"/>
      <c r="L882" s="71"/>
      <c r="N882" t="str">
        <f>IFERROR(IF(VLOOKUP(Tb_Activiteiten[[#This Row],[Openstelling]],Tb_Openstelling[],2,0)=1,1,""),"")</f>
        <v/>
      </c>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25">
      <c r="A883" s="337"/>
      <c r="F883" s="79"/>
      <c r="G883" s="79"/>
      <c r="L883" s="71"/>
      <c r="N883" t="str">
        <f>IFERROR(IF(VLOOKUP(Tb_Activiteiten[[#This Row],[Openstelling]],Tb_Openstelling[],2,0)=1,1,""),"")</f>
        <v/>
      </c>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25">
      <c r="A884" s="337"/>
      <c r="F884" s="79"/>
      <c r="G884" s="79"/>
      <c r="L884" s="71"/>
      <c r="N884" t="str">
        <f>IFERROR(IF(VLOOKUP(Tb_Activiteiten[[#This Row],[Openstelling]],Tb_Openstelling[],2,0)=1,1,""),"")</f>
        <v/>
      </c>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25">
      <c r="A885" s="337"/>
      <c r="F885" s="79"/>
      <c r="G885" s="79"/>
      <c r="L885" s="71"/>
      <c r="N885" t="str">
        <f>IFERROR(IF(VLOOKUP(Tb_Activiteiten[[#This Row],[Openstelling]],Tb_Openstelling[],2,0)=1,1,""),"")</f>
        <v/>
      </c>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25">
      <c r="A886" s="337"/>
      <c r="F886" s="79"/>
      <c r="G886" s="79"/>
      <c r="L886" s="71"/>
      <c r="N886" t="str">
        <f>IFERROR(IF(VLOOKUP(Tb_Activiteiten[[#This Row],[Openstelling]],Tb_Openstelling[],2,0)=1,1,""),"")</f>
        <v/>
      </c>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25">
      <c r="A887" s="337"/>
      <c r="F887" s="79"/>
      <c r="G887" s="79"/>
      <c r="L887" s="71"/>
      <c r="N887" t="str">
        <f>IFERROR(IF(VLOOKUP(Tb_Activiteiten[[#This Row],[Openstelling]],Tb_Openstelling[],2,0)=1,1,""),"")</f>
        <v/>
      </c>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25">
      <c r="A888" s="337"/>
      <c r="F888" s="79"/>
      <c r="G888" s="79"/>
      <c r="L888" s="71"/>
      <c r="N888" t="str">
        <f>IFERROR(IF(VLOOKUP(Tb_Activiteiten[[#This Row],[Openstelling]],Tb_Openstelling[],2,0)=1,1,""),"")</f>
        <v/>
      </c>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25">
      <c r="A889" s="337"/>
      <c r="F889" s="79"/>
      <c r="G889" s="79"/>
      <c r="L889" s="71"/>
      <c r="N889" t="str">
        <f>IFERROR(IF(VLOOKUP(Tb_Activiteiten[[#This Row],[Openstelling]],Tb_Openstelling[],2,0)=1,1,""),"")</f>
        <v/>
      </c>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25">
      <c r="A890" s="337"/>
      <c r="F890" s="79"/>
      <c r="G890" s="79"/>
      <c r="L890" s="71"/>
      <c r="N890" t="str">
        <f>IFERROR(IF(VLOOKUP(Tb_Activiteiten[[#This Row],[Openstelling]],Tb_Openstelling[],2,0)=1,1,""),"")</f>
        <v/>
      </c>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25">
      <c r="A891" s="337"/>
      <c r="F891" s="79"/>
      <c r="G891" s="79"/>
      <c r="L891" s="71"/>
      <c r="N891" t="str">
        <f>IFERROR(IF(VLOOKUP(Tb_Activiteiten[[#This Row],[Openstelling]],Tb_Openstelling[],2,0)=1,1,""),"")</f>
        <v/>
      </c>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25">
      <c r="A892" s="337"/>
      <c r="F892" s="79"/>
      <c r="G892" s="79"/>
      <c r="L892" s="71"/>
      <c r="N892" t="str">
        <f>IFERROR(IF(VLOOKUP(Tb_Activiteiten[[#This Row],[Openstelling]],Tb_Openstelling[],2,0)=1,1,""),"")</f>
        <v/>
      </c>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25">
      <c r="A893" s="337"/>
      <c r="F893" s="79"/>
      <c r="G893" s="79"/>
      <c r="L893" s="71"/>
      <c r="N893" t="str">
        <f>IFERROR(IF(VLOOKUP(Tb_Activiteiten[[#This Row],[Openstelling]],Tb_Openstelling[],2,0)=1,1,""),"")</f>
        <v/>
      </c>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25">
      <c r="A894" s="337"/>
      <c r="F894" s="79"/>
      <c r="G894" s="79"/>
      <c r="L894" s="71"/>
      <c r="N894" t="str">
        <f>IFERROR(IF(VLOOKUP(Tb_Activiteiten[[#This Row],[Openstelling]],Tb_Openstelling[],2,0)=1,1,""),"")</f>
        <v/>
      </c>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25">
      <c r="A895" s="337"/>
      <c r="F895" s="79"/>
      <c r="G895" s="79"/>
      <c r="L895" s="71"/>
      <c r="N895" t="str">
        <f>IFERROR(IF(VLOOKUP(Tb_Activiteiten[[#This Row],[Openstelling]],Tb_Openstelling[],2,0)=1,1,""),"")</f>
        <v/>
      </c>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25">
      <c r="A896" s="337"/>
      <c r="F896" s="79"/>
      <c r="G896" s="79"/>
      <c r="L896" s="71"/>
      <c r="N896" t="str">
        <f>IFERROR(IF(VLOOKUP(Tb_Activiteiten[[#This Row],[Openstelling]],Tb_Openstelling[],2,0)=1,1,""),"")</f>
        <v/>
      </c>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25">
      <c r="A897" s="337"/>
      <c r="F897" s="79"/>
      <c r="G897" s="79"/>
      <c r="L897" s="71"/>
      <c r="N897" t="str">
        <f>IFERROR(IF(VLOOKUP(Tb_Activiteiten[[#This Row],[Openstelling]],Tb_Openstelling[],2,0)=1,1,""),"")</f>
        <v/>
      </c>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25">
      <c r="A898" s="337"/>
      <c r="F898" s="79"/>
      <c r="G898" s="79"/>
      <c r="L898" s="71"/>
      <c r="N898" t="str">
        <f>IFERROR(IF(VLOOKUP(Tb_Activiteiten[[#This Row],[Openstelling]],Tb_Openstelling[],2,0)=1,1,""),"")</f>
        <v/>
      </c>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25">
      <c r="A899" s="337"/>
      <c r="F899" s="79"/>
      <c r="G899" s="79"/>
      <c r="L899" s="71"/>
      <c r="N899" t="str">
        <f>IFERROR(IF(VLOOKUP(Tb_Activiteiten[[#This Row],[Openstelling]],Tb_Openstelling[],2,0)=1,1,""),"")</f>
        <v/>
      </c>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25">
      <c r="A900" s="337"/>
      <c r="F900" s="79"/>
      <c r="G900" s="79"/>
      <c r="L900" s="71"/>
      <c r="N900" t="str">
        <f>IFERROR(IF(VLOOKUP(Tb_Activiteiten[[#This Row],[Openstelling]],Tb_Openstelling[],2,0)=1,1,""),"")</f>
        <v/>
      </c>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25">
      <c r="A901" s="337"/>
      <c r="F901" s="79"/>
      <c r="G901" s="79"/>
      <c r="L901" s="71"/>
      <c r="N901" t="str">
        <f>IFERROR(IF(VLOOKUP(Tb_Activiteiten[[#This Row],[Openstelling]],Tb_Openstelling[],2,0)=1,1,""),"")</f>
        <v/>
      </c>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25">
      <c r="A902" s="337"/>
      <c r="F902" s="79"/>
      <c r="G902" s="79"/>
      <c r="L902" s="71"/>
      <c r="N902" t="str">
        <f>IFERROR(IF(VLOOKUP(Tb_Activiteiten[[#This Row],[Openstelling]],Tb_Openstelling[],2,0)=1,1,""),"")</f>
        <v/>
      </c>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25">
      <c r="A903" s="337"/>
      <c r="F903" s="79"/>
      <c r="G903" s="79"/>
      <c r="L903" s="71"/>
      <c r="N903" t="str">
        <f>IFERROR(IF(VLOOKUP(Tb_Activiteiten[[#This Row],[Openstelling]],Tb_Openstelling[],2,0)=1,1,""),"")</f>
        <v/>
      </c>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25">
      <c r="A904" s="337"/>
      <c r="F904" s="79"/>
      <c r="G904" s="79"/>
      <c r="L904" s="71"/>
      <c r="N904" t="str">
        <f>IFERROR(IF(VLOOKUP(Tb_Activiteiten[[#This Row],[Openstelling]],Tb_Openstelling[],2,0)=1,1,""),"")</f>
        <v/>
      </c>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25">
      <c r="A905" s="337"/>
      <c r="F905" s="79"/>
      <c r="G905" s="79"/>
      <c r="L905" s="71"/>
      <c r="N905" t="str">
        <f>IFERROR(IF(VLOOKUP(Tb_Activiteiten[[#This Row],[Openstelling]],Tb_Openstelling[],2,0)=1,1,""),"")</f>
        <v/>
      </c>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25">
      <c r="A906" s="337"/>
      <c r="F906" s="79"/>
      <c r="G906" s="79"/>
      <c r="L906" s="71"/>
      <c r="N906" t="str">
        <f>IFERROR(IF(VLOOKUP(Tb_Activiteiten[[#This Row],[Openstelling]],Tb_Openstelling[],2,0)=1,1,""),"")</f>
        <v/>
      </c>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25">
      <c r="A907" s="337"/>
      <c r="F907" s="79"/>
      <c r="G907" s="79"/>
      <c r="L907" s="71"/>
      <c r="N907" t="str">
        <f>IFERROR(IF(VLOOKUP(Tb_Activiteiten[[#This Row],[Openstelling]],Tb_Openstelling[],2,0)=1,1,""),"")</f>
        <v/>
      </c>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25">
      <c r="A908" s="337"/>
      <c r="F908" s="79"/>
      <c r="G908" s="79"/>
      <c r="L908" s="71"/>
      <c r="N908" t="str">
        <f>IFERROR(IF(VLOOKUP(Tb_Activiteiten[[#This Row],[Openstelling]],Tb_Openstelling[],2,0)=1,1,""),"")</f>
        <v/>
      </c>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25">
      <c r="A909" s="337"/>
      <c r="F909" s="79"/>
      <c r="G909" s="79"/>
      <c r="L909" s="71"/>
      <c r="N909" t="str">
        <f>IFERROR(IF(VLOOKUP(Tb_Activiteiten[[#This Row],[Openstelling]],Tb_Openstelling[],2,0)=1,1,""),"")</f>
        <v/>
      </c>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25">
      <c r="A910" s="337"/>
      <c r="F910" s="79"/>
      <c r="G910" s="79"/>
      <c r="L910" s="71"/>
      <c r="N910" t="str">
        <f>IFERROR(IF(VLOOKUP(Tb_Activiteiten[[#This Row],[Openstelling]],Tb_Openstelling[],2,0)=1,1,""),"")</f>
        <v/>
      </c>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25">
      <c r="A911" s="337"/>
      <c r="F911" s="79"/>
      <c r="G911" s="79"/>
      <c r="L911" s="71"/>
      <c r="N911" t="str">
        <f>IFERROR(IF(VLOOKUP(Tb_Activiteiten[[#This Row],[Openstelling]],Tb_Openstelling[],2,0)=1,1,""),"")</f>
        <v/>
      </c>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25">
      <c r="A912" s="337"/>
      <c r="F912" s="79"/>
      <c r="G912" s="79"/>
      <c r="L912" s="71"/>
      <c r="N912" t="str">
        <f>IFERROR(IF(VLOOKUP(Tb_Activiteiten[[#This Row],[Openstelling]],Tb_Openstelling[],2,0)=1,1,""),"")</f>
        <v/>
      </c>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25">
      <c r="A913" s="337"/>
      <c r="F913" s="79"/>
      <c r="G913" s="79"/>
      <c r="L913" s="71"/>
      <c r="N913" t="str">
        <f>IFERROR(IF(VLOOKUP(Tb_Activiteiten[[#This Row],[Openstelling]],Tb_Openstelling[],2,0)=1,1,""),"")</f>
        <v/>
      </c>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25">
      <c r="A914" s="337"/>
      <c r="F914" s="79"/>
      <c r="G914" s="79"/>
      <c r="L914" s="71"/>
      <c r="N914" t="str">
        <f>IFERROR(IF(VLOOKUP(Tb_Activiteiten[[#This Row],[Openstelling]],Tb_Openstelling[],2,0)=1,1,""),"")</f>
        <v/>
      </c>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25">
      <c r="A915" s="337"/>
      <c r="F915" s="79"/>
      <c r="G915" s="79"/>
      <c r="L915" s="71"/>
      <c r="N915" t="str">
        <f>IFERROR(IF(VLOOKUP(Tb_Activiteiten[[#This Row],[Openstelling]],Tb_Openstelling[],2,0)=1,1,""),"")</f>
        <v/>
      </c>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25">
      <c r="A916" s="337"/>
      <c r="F916" s="79"/>
      <c r="G916" s="79"/>
      <c r="L916" s="71"/>
      <c r="N916" t="str">
        <f>IFERROR(IF(VLOOKUP(Tb_Activiteiten[[#This Row],[Openstelling]],Tb_Openstelling[],2,0)=1,1,""),"")</f>
        <v/>
      </c>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25">
      <c r="A917" s="337"/>
      <c r="F917" s="79"/>
      <c r="G917" s="79"/>
      <c r="L917" s="71"/>
      <c r="N917" t="str">
        <f>IFERROR(IF(VLOOKUP(Tb_Activiteiten[[#This Row],[Openstelling]],Tb_Openstelling[],2,0)=1,1,""),"")</f>
        <v/>
      </c>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25">
      <c r="A918" s="337"/>
      <c r="F918" s="79"/>
      <c r="G918" s="79"/>
      <c r="L918" s="71"/>
      <c r="N918" t="str">
        <f>IFERROR(IF(VLOOKUP(Tb_Activiteiten[[#This Row],[Openstelling]],Tb_Openstelling[],2,0)=1,1,""),"")</f>
        <v/>
      </c>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25">
      <c r="A919" s="337"/>
      <c r="F919" s="79"/>
      <c r="G919" s="79"/>
      <c r="L919" s="71"/>
      <c r="N919" t="str">
        <f>IFERROR(IF(VLOOKUP(Tb_Activiteiten[[#This Row],[Openstelling]],Tb_Openstelling[],2,0)=1,1,""),"")</f>
        <v/>
      </c>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25">
      <c r="A920" s="337"/>
      <c r="F920" s="79"/>
      <c r="G920" s="79"/>
      <c r="L920" s="71"/>
      <c r="N920" t="str">
        <f>IFERROR(IF(VLOOKUP(Tb_Activiteiten[[#This Row],[Openstelling]],Tb_Openstelling[],2,0)=1,1,""),"")</f>
        <v/>
      </c>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25">
      <c r="A921" s="337"/>
      <c r="F921" s="79"/>
      <c r="G921" s="79"/>
      <c r="L921" s="71"/>
      <c r="N921" t="str">
        <f>IFERROR(IF(VLOOKUP(Tb_Activiteiten[[#This Row],[Openstelling]],Tb_Openstelling[],2,0)=1,1,""),"")</f>
        <v/>
      </c>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25">
      <c r="A922" s="337"/>
      <c r="F922" s="79"/>
      <c r="G922" s="79"/>
      <c r="L922" s="71"/>
      <c r="N922" t="str">
        <f>IFERROR(IF(VLOOKUP(Tb_Activiteiten[[#This Row],[Openstelling]],Tb_Openstelling[],2,0)=1,1,""),"")</f>
        <v/>
      </c>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25">
      <c r="A923" s="337"/>
      <c r="F923" s="79"/>
      <c r="G923" s="79"/>
      <c r="L923" s="71"/>
      <c r="N923" t="str">
        <f>IFERROR(IF(VLOOKUP(Tb_Activiteiten[[#This Row],[Openstelling]],Tb_Openstelling[],2,0)=1,1,""),"")</f>
        <v/>
      </c>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25">
      <c r="A924" s="337"/>
      <c r="F924" s="79"/>
      <c r="G924" s="79"/>
      <c r="L924" s="71"/>
      <c r="N924" t="str">
        <f>IFERROR(IF(VLOOKUP(Tb_Activiteiten[[#This Row],[Openstelling]],Tb_Openstelling[],2,0)=1,1,""),"")</f>
        <v/>
      </c>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25">
      <c r="A925" s="337"/>
      <c r="F925" s="79"/>
      <c r="G925" s="79"/>
      <c r="L925" s="71"/>
      <c r="N925" t="str">
        <f>IFERROR(IF(VLOOKUP(Tb_Activiteiten[[#This Row],[Openstelling]],Tb_Openstelling[],2,0)=1,1,""),"")</f>
        <v/>
      </c>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25">
      <c r="A926" s="337"/>
      <c r="F926" s="79"/>
      <c r="G926" s="79"/>
      <c r="L926" s="71"/>
      <c r="N926" t="str">
        <f>IFERROR(IF(VLOOKUP(Tb_Activiteiten[[#This Row],[Openstelling]],Tb_Openstelling[],2,0)=1,1,""),"")</f>
        <v/>
      </c>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25">
      <c r="A927" s="337"/>
      <c r="F927" s="79"/>
      <c r="G927" s="79"/>
      <c r="L927" s="71"/>
      <c r="N927" t="str">
        <f>IFERROR(IF(VLOOKUP(Tb_Activiteiten[[#This Row],[Openstelling]],Tb_Openstelling[],2,0)=1,1,""),"")</f>
        <v/>
      </c>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25">
      <c r="A928" s="337"/>
      <c r="F928" s="79"/>
      <c r="G928" s="79"/>
      <c r="L928" s="71"/>
      <c r="N928" t="str">
        <f>IFERROR(IF(VLOOKUP(Tb_Activiteiten[[#This Row],[Openstelling]],Tb_Openstelling[],2,0)=1,1,""),"")</f>
        <v/>
      </c>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25">
      <c r="A929" s="337"/>
      <c r="F929" s="79"/>
      <c r="G929" s="79"/>
      <c r="L929" s="71"/>
      <c r="N929" t="str">
        <f>IFERROR(IF(VLOOKUP(Tb_Activiteiten[[#This Row],[Openstelling]],Tb_Openstelling[],2,0)=1,1,""),"")</f>
        <v/>
      </c>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25">
      <c r="A930" s="337"/>
      <c r="F930" s="79"/>
      <c r="G930" s="79"/>
      <c r="L930" s="71"/>
      <c r="N930" t="str">
        <f>IFERROR(IF(VLOOKUP(Tb_Activiteiten[[#This Row],[Openstelling]],Tb_Openstelling[],2,0)=1,1,""),"")</f>
        <v/>
      </c>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25">
      <c r="A931" s="337"/>
      <c r="F931" s="79"/>
      <c r="G931" s="79"/>
      <c r="L931" s="71"/>
      <c r="N931" t="str">
        <f>IFERROR(IF(VLOOKUP(Tb_Activiteiten[[#This Row],[Openstelling]],Tb_Openstelling[],2,0)=1,1,""),"")</f>
        <v/>
      </c>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25">
      <c r="A932" s="337"/>
      <c r="F932" s="79"/>
      <c r="G932" s="79"/>
      <c r="L932" s="71"/>
      <c r="N932" t="str">
        <f>IFERROR(IF(VLOOKUP(Tb_Activiteiten[[#This Row],[Openstelling]],Tb_Openstelling[],2,0)=1,1,""),"")</f>
        <v/>
      </c>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25">
      <c r="A933" s="337"/>
      <c r="F933" s="79"/>
      <c r="G933" s="79"/>
      <c r="L933" s="71"/>
      <c r="N933" t="str">
        <f>IFERROR(IF(VLOOKUP(Tb_Activiteiten[[#This Row],[Openstelling]],Tb_Openstelling[],2,0)=1,1,""),"")</f>
        <v/>
      </c>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25">
      <c r="A934" s="337"/>
      <c r="F934" s="79"/>
      <c r="G934" s="79"/>
      <c r="L934" s="71"/>
      <c r="N934" t="str">
        <f>IFERROR(IF(VLOOKUP(Tb_Activiteiten[[#This Row],[Openstelling]],Tb_Openstelling[],2,0)=1,1,""),"")</f>
        <v/>
      </c>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25">
      <c r="A935" s="337"/>
      <c r="F935" s="79"/>
      <c r="G935" s="79"/>
      <c r="L935" s="71"/>
      <c r="N935" t="str">
        <f>IFERROR(IF(VLOOKUP(Tb_Activiteiten[[#This Row],[Openstelling]],Tb_Openstelling[],2,0)=1,1,""),"")</f>
        <v/>
      </c>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25">
      <c r="A936" s="337"/>
      <c r="F936" s="79"/>
      <c r="G936" s="79"/>
      <c r="L936" s="71"/>
      <c r="N936" t="str">
        <f>IFERROR(IF(VLOOKUP(Tb_Activiteiten[[#This Row],[Openstelling]],Tb_Openstelling[],2,0)=1,1,""),"")</f>
        <v/>
      </c>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25">
      <c r="A937" s="337"/>
      <c r="F937" s="79"/>
      <c r="G937" s="79"/>
      <c r="L937" s="71"/>
      <c r="N937" t="str">
        <f>IFERROR(IF(VLOOKUP(Tb_Activiteiten[[#This Row],[Openstelling]],Tb_Openstelling[],2,0)=1,1,""),"")</f>
        <v/>
      </c>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25">
      <c r="A938" s="337"/>
      <c r="F938" s="79"/>
      <c r="G938" s="79"/>
      <c r="L938" s="71"/>
      <c r="N938" t="str">
        <f>IFERROR(IF(VLOOKUP(Tb_Activiteiten[[#This Row],[Openstelling]],Tb_Openstelling[],2,0)=1,1,""),"")</f>
        <v/>
      </c>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25">
      <c r="A939" s="337"/>
      <c r="F939" s="79"/>
      <c r="G939" s="79"/>
      <c r="L939" s="71"/>
      <c r="N939" t="str">
        <f>IFERROR(IF(VLOOKUP(Tb_Activiteiten[[#This Row],[Openstelling]],Tb_Openstelling[],2,0)=1,1,""),"")</f>
        <v/>
      </c>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25">
      <c r="A940" s="337"/>
      <c r="F940" s="79"/>
      <c r="G940" s="79"/>
      <c r="L940" s="71"/>
      <c r="N940" t="str">
        <f>IFERROR(IF(VLOOKUP(Tb_Activiteiten[[#This Row],[Openstelling]],Tb_Openstelling[],2,0)=1,1,""),"")</f>
        <v/>
      </c>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25">
      <c r="A941" s="337"/>
      <c r="F941" s="79"/>
      <c r="G941" s="79"/>
      <c r="L941" s="71"/>
      <c r="N941" t="str">
        <f>IFERROR(IF(VLOOKUP(Tb_Activiteiten[[#This Row],[Openstelling]],Tb_Openstelling[],2,0)=1,1,""),"")</f>
        <v/>
      </c>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25">
      <c r="A942" s="337"/>
      <c r="F942" s="79"/>
      <c r="G942" s="79"/>
      <c r="L942" s="71"/>
      <c r="N942" t="str">
        <f>IFERROR(IF(VLOOKUP(Tb_Activiteiten[[#This Row],[Openstelling]],Tb_Openstelling[],2,0)=1,1,""),"")</f>
        <v/>
      </c>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25">
      <c r="A943" s="337"/>
      <c r="F943" s="79"/>
      <c r="G943" s="79"/>
      <c r="L943" s="71"/>
      <c r="N943" t="str">
        <f>IFERROR(IF(VLOOKUP(Tb_Activiteiten[[#This Row],[Openstelling]],Tb_Openstelling[],2,0)=1,1,""),"")</f>
        <v/>
      </c>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25">
      <c r="A944" s="337"/>
      <c r="F944" s="79"/>
      <c r="G944" s="79"/>
      <c r="L944" s="71"/>
      <c r="N944" t="str">
        <f>IFERROR(IF(VLOOKUP(Tb_Activiteiten[[#This Row],[Openstelling]],Tb_Openstelling[],2,0)=1,1,""),"")</f>
        <v/>
      </c>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25">
      <c r="A945" s="337"/>
      <c r="F945" s="79"/>
      <c r="G945" s="79"/>
      <c r="L945" s="71"/>
      <c r="N945" t="str">
        <f>IFERROR(IF(VLOOKUP(Tb_Activiteiten[[#This Row],[Openstelling]],Tb_Openstelling[],2,0)=1,1,""),"")</f>
        <v/>
      </c>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25">
      <c r="A946" s="337"/>
      <c r="F946" s="79"/>
      <c r="G946" s="79"/>
      <c r="L946" s="71"/>
      <c r="N946" t="str">
        <f>IFERROR(IF(VLOOKUP(Tb_Activiteiten[[#This Row],[Openstelling]],Tb_Openstelling[],2,0)=1,1,""),"")</f>
        <v/>
      </c>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25">
      <c r="A947" s="337"/>
      <c r="F947" s="79"/>
      <c r="G947" s="79"/>
      <c r="L947" s="71"/>
      <c r="N947" t="str">
        <f>IFERROR(IF(VLOOKUP(Tb_Activiteiten[[#This Row],[Openstelling]],Tb_Openstelling[],2,0)=1,1,""),"")</f>
        <v/>
      </c>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25">
      <c r="A948" s="337"/>
      <c r="F948" s="79"/>
      <c r="G948" s="79"/>
      <c r="L948" s="71"/>
      <c r="N948" t="str">
        <f>IFERROR(IF(VLOOKUP(Tb_Activiteiten[[#This Row],[Openstelling]],Tb_Openstelling[],2,0)=1,1,""),"")</f>
        <v/>
      </c>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25">
      <c r="A949" s="337"/>
      <c r="F949" s="79"/>
      <c r="G949" s="79"/>
      <c r="L949" s="71"/>
      <c r="N949" t="str">
        <f>IFERROR(IF(VLOOKUP(Tb_Activiteiten[[#This Row],[Openstelling]],Tb_Openstelling[],2,0)=1,1,""),"")</f>
        <v/>
      </c>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25">
      <c r="A950" s="337"/>
      <c r="F950" s="79"/>
      <c r="G950" s="79"/>
      <c r="L950" s="71"/>
      <c r="N950" t="str">
        <f>IFERROR(IF(VLOOKUP(Tb_Activiteiten[[#This Row],[Openstelling]],Tb_Openstelling[],2,0)=1,1,""),"")</f>
        <v/>
      </c>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25">
      <c r="A951" s="337"/>
      <c r="F951" s="79"/>
      <c r="G951" s="79"/>
      <c r="L951" s="71"/>
      <c r="N951" t="str">
        <f>IFERROR(IF(VLOOKUP(Tb_Activiteiten[[#This Row],[Openstelling]],Tb_Openstelling[],2,0)=1,1,""),"")</f>
        <v/>
      </c>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25">
      <c r="A952" s="337"/>
      <c r="F952" s="79"/>
      <c r="G952" s="79"/>
      <c r="L952" s="71"/>
      <c r="N952" t="str">
        <f>IFERROR(IF(VLOOKUP(Tb_Activiteiten[[#This Row],[Openstelling]],Tb_Openstelling[],2,0)=1,1,""),"")</f>
        <v/>
      </c>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25">
      <c r="A953" s="337"/>
      <c r="F953" s="79"/>
      <c r="G953" s="79"/>
      <c r="L953" s="71"/>
      <c r="N953" t="str">
        <f>IFERROR(IF(VLOOKUP(Tb_Activiteiten[[#This Row],[Openstelling]],Tb_Openstelling[],2,0)=1,1,""),"")</f>
        <v/>
      </c>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25">
      <c r="A954" s="337"/>
      <c r="F954" s="79"/>
      <c r="G954" s="79"/>
      <c r="L954" s="71"/>
      <c r="N954" t="str">
        <f>IFERROR(IF(VLOOKUP(Tb_Activiteiten[[#This Row],[Openstelling]],Tb_Openstelling[],2,0)=1,1,""),"")</f>
        <v/>
      </c>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25">
      <c r="A955" s="337"/>
      <c r="F955" s="79"/>
      <c r="G955" s="79"/>
      <c r="L955" s="71"/>
      <c r="N955" t="str">
        <f>IFERROR(IF(VLOOKUP(Tb_Activiteiten[[#This Row],[Openstelling]],Tb_Openstelling[],2,0)=1,1,""),"")</f>
        <v/>
      </c>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25">
      <c r="A956" s="337"/>
      <c r="F956" s="79"/>
      <c r="G956" s="79"/>
      <c r="L956" s="71"/>
      <c r="N956" t="str">
        <f>IFERROR(IF(VLOOKUP(Tb_Activiteiten[[#This Row],[Openstelling]],Tb_Openstelling[],2,0)=1,1,""),"")</f>
        <v/>
      </c>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25">
      <c r="A957" s="337"/>
      <c r="F957" s="79"/>
      <c r="G957" s="79"/>
      <c r="L957" s="71"/>
      <c r="N957" t="str">
        <f>IFERROR(IF(VLOOKUP(Tb_Activiteiten[[#This Row],[Openstelling]],Tb_Openstelling[],2,0)=1,1,""),"")</f>
        <v/>
      </c>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25">
      <c r="A958" s="337"/>
      <c r="F958" s="79"/>
      <c r="G958" s="79"/>
      <c r="L958" s="71"/>
      <c r="N958" t="str">
        <f>IFERROR(IF(VLOOKUP(Tb_Activiteiten[[#This Row],[Openstelling]],Tb_Openstelling[],2,0)=1,1,""),"")</f>
        <v/>
      </c>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25">
      <c r="A959" s="337"/>
      <c r="F959" s="79"/>
      <c r="G959" s="79"/>
      <c r="L959" s="71"/>
      <c r="N959" t="str">
        <f>IFERROR(IF(VLOOKUP(Tb_Activiteiten[[#This Row],[Openstelling]],Tb_Openstelling[],2,0)=1,1,""),"")</f>
        <v/>
      </c>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25">
      <c r="A960" s="337"/>
      <c r="F960" s="79"/>
      <c r="G960" s="79"/>
      <c r="L960" s="71"/>
      <c r="N960" t="str">
        <f>IFERROR(IF(VLOOKUP(Tb_Activiteiten[[#This Row],[Openstelling]],Tb_Openstelling[],2,0)=1,1,""),"")</f>
        <v/>
      </c>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25">
      <c r="A961" s="337"/>
      <c r="F961" s="79"/>
      <c r="G961" s="79"/>
      <c r="L961" s="71"/>
      <c r="N961" t="str">
        <f>IFERROR(IF(VLOOKUP(Tb_Activiteiten[[#This Row],[Openstelling]],Tb_Openstelling[],2,0)=1,1,""),"")</f>
        <v/>
      </c>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25">
      <c r="A962" s="337"/>
      <c r="F962" s="79"/>
      <c r="G962" s="79"/>
      <c r="L962" s="71"/>
      <c r="N962" t="str">
        <f>IFERROR(IF(VLOOKUP(Tb_Activiteiten[[#This Row],[Openstelling]],Tb_Openstelling[],2,0)=1,1,""),"")</f>
        <v/>
      </c>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25">
      <c r="A963" s="337"/>
      <c r="F963" s="79"/>
      <c r="G963" s="79"/>
      <c r="L963" s="71"/>
      <c r="N963" t="str">
        <f>IFERROR(IF(VLOOKUP(Tb_Activiteiten[[#This Row],[Openstelling]],Tb_Openstelling[],2,0)=1,1,""),"")</f>
        <v/>
      </c>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25">
      <c r="A964" s="337"/>
      <c r="F964" s="79"/>
      <c r="G964" s="79"/>
      <c r="L964" s="71"/>
      <c r="N964" t="str">
        <f>IFERROR(IF(VLOOKUP(Tb_Activiteiten[[#This Row],[Openstelling]],Tb_Openstelling[],2,0)=1,1,""),"")</f>
        <v/>
      </c>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25">
      <c r="A965" s="337"/>
      <c r="F965" s="79"/>
      <c r="G965" s="79"/>
      <c r="L965" s="71"/>
      <c r="N965" t="str">
        <f>IFERROR(IF(VLOOKUP(Tb_Activiteiten[[#This Row],[Openstelling]],Tb_Openstelling[],2,0)=1,1,""),"")</f>
        <v/>
      </c>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25">
      <c r="A966" s="337"/>
      <c r="F966" s="79"/>
      <c r="G966" s="79"/>
      <c r="L966" s="71"/>
      <c r="N966" t="str">
        <f>IFERROR(IF(VLOOKUP(Tb_Activiteiten[[#This Row],[Openstelling]],Tb_Openstelling[],2,0)=1,1,""),"")</f>
        <v/>
      </c>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25">
      <c r="A967" s="337"/>
      <c r="F967" s="79"/>
      <c r="G967" s="79"/>
      <c r="L967" s="71"/>
      <c r="N967" t="str">
        <f>IFERROR(IF(VLOOKUP(Tb_Activiteiten[[#This Row],[Openstelling]],Tb_Openstelling[],2,0)=1,1,""),"")</f>
        <v/>
      </c>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25">
      <c r="A968" s="337"/>
      <c r="F968" s="79"/>
      <c r="G968" s="79"/>
      <c r="L968" s="71"/>
      <c r="N968" t="str">
        <f>IFERROR(IF(VLOOKUP(Tb_Activiteiten[[#This Row],[Openstelling]],Tb_Openstelling[],2,0)=1,1,""),"")</f>
        <v/>
      </c>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25">
      <c r="A969" s="337"/>
      <c r="F969" s="79"/>
      <c r="G969" s="79"/>
      <c r="L969" s="71"/>
      <c r="N969" t="str">
        <f>IFERROR(IF(VLOOKUP(Tb_Activiteiten[[#This Row],[Openstelling]],Tb_Openstelling[],2,0)=1,1,""),"")</f>
        <v/>
      </c>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25">
      <c r="A970" s="337"/>
      <c r="F970" s="79"/>
      <c r="G970" s="79"/>
      <c r="L970" s="71"/>
      <c r="N970" t="str">
        <f>IFERROR(IF(VLOOKUP(Tb_Activiteiten[[#This Row],[Openstelling]],Tb_Openstelling[],2,0)=1,1,""),"")</f>
        <v/>
      </c>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25">
      <c r="A971" s="337"/>
      <c r="F971" s="79"/>
      <c r="G971" s="79"/>
      <c r="L971" s="71"/>
      <c r="N971" t="str">
        <f>IFERROR(IF(VLOOKUP(Tb_Activiteiten[[#This Row],[Openstelling]],Tb_Openstelling[],2,0)=1,1,""),"")</f>
        <v/>
      </c>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25">
      <c r="A972" s="337"/>
      <c r="F972" s="79"/>
      <c r="G972" s="79"/>
      <c r="L972" s="71"/>
      <c r="N972" t="str">
        <f>IFERROR(IF(VLOOKUP(Tb_Activiteiten[[#This Row],[Openstelling]],Tb_Openstelling[],2,0)=1,1,""),"")</f>
        <v/>
      </c>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25">
      <c r="A973" s="337"/>
      <c r="F973" s="79"/>
      <c r="G973" s="79"/>
      <c r="L973" s="71"/>
      <c r="N973" t="str">
        <f>IFERROR(IF(VLOOKUP(Tb_Activiteiten[[#This Row],[Openstelling]],Tb_Openstelling[],2,0)=1,1,""),"")</f>
        <v/>
      </c>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25">
      <c r="A974" s="337"/>
      <c r="F974" s="79"/>
      <c r="G974" s="79"/>
      <c r="L974" s="71"/>
      <c r="N974" t="str">
        <f>IFERROR(IF(VLOOKUP(Tb_Activiteiten[[#This Row],[Openstelling]],Tb_Openstelling[],2,0)=1,1,""),"")</f>
        <v/>
      </c>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25">
      <c r="A975" s="337"/>
      <c r="F975" s="79"/>
      <c r="G975" s="79"/>
      <c r="L975" s="71"/>
      <c r="N975" t="str">
        <f>IFERROR(IF(VLOOKUP(Tb_Activiteiten[[#This Row],[Openstelling]],Tb_Openstelling[],2,0)=1,1,""),"")</f>
        <v/>
      </c>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25">
      <c r="A976" s="337"/>
      <c r="F976" s="79"/>
      <c r="G976" s="79"/>
      <c r="L976" s="71"/>
      <c r="N976" t="str">
        <f>IFERROR(IF(VLOOKUP(Tb_Activiteiten[[#This Row],[Openstelling]],Tb_Openstelling[],2,0)=1,1,""),"")</f>
        <v/>
      </c>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25">
      <c r="A977" s="337"/>
      <c r="F977" s="79"/>
      <c r="G977" s="79"/>
      <c r="L977" s="71"/>
      <c r="N977" t="str">
        <f>IFERROR(IF(VLOOKUP(Tb_Activiteiten[[#This Row],[Openstelling]],Tb_Openstelling[],2,0)=1,1,""),"")</f>
        <v/>
      </c>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25">
      <c r="A978" s="337"/>
      <c r="F978" s="79"/>
      <c r="G978" s="79"/>
      <c r="L978" s="71"/>
      <c r="N978" t="str">
        <f>IFERROR(IF(VLOOKUP(Tb_Activiteiten[[#This Row],[Openstelling]],Tb_Openstelling[],2,0)=1,1,""),"")</f>
        <v/>
      </c>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25">
      <c r="A979" s="337"/>
      <c r="F979" s="79"/>
      <c r="G979" s="79"/>
      <c r="L979" s="71"/>
      <c r="N979" t="str">
        <f>IFERROR(IF(VLOOKUP(Tb_Activiteiten[[#This Row],[Openstelling]],Tb_Openstelling[],2,0)=1,1,""),"")</f>
        <v/>
      </c>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25">
      <c r="A980" s="337"/>
      <c r="F980" s="79"/>
      <c r="G980" s="79"/>
      <c r="L980" s="71"/>
      <c r="N980" t="str">
        <f>IFERROR(IF(VLOOKUP(Tb_Activiteiten[[#This Row],[Openstelling]],Tb_Openstelling[],2,0)=1,1,""),"")</f>
        <v/>
      </c>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25">
      <c r="A981" s="337"/>
      <c r="F981" s="79"/>
      <c r="G981" s="79"/>
      <c r="L981" s="71"/>
      <c r="N981" t="str">
        <f>IFERROR(IF(VLOOKUP(Tb_Activiteiten[[#This Row],[Openstelling]],Tb_Openstelling[],2,0)=1,1,""),"")</f>
        <v/>
      </c>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25">
      <c r="A982" s="337"/>
      <c r="F982" s="79"/>
      <c r="G982" s="79"/>
      <c r="L982" s="71"/>
      <c r="N982" t="str">
        <f>IFERROR(IF(VLOOKUP(Tb_Activiteiten[[#This Row],[Openstelling]],Tb_Openstelling[],2,0)=1,1,""),"")</f>
        <v/>
      </c>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25">
      <c r="A983" s="337"/>
      <c r="F983" s="79"/>
      <c r="G983" s="79"/>
      <c r="L983" s="71"/>
      <c r="N983" t="str">
        <f>IFERROR(IF(VLOOKUP(Tb_Activiteiten[[#This Row],[Openstelling]],Tb_Openstelling[],2,0)=1,1,""),"")</f>
        <v/>
      </c>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25">
      <c r="A984" s="337"/>
      <c r="F984" s="79"/>
      <c r="G984" s="79"/>
      <c r="L984" s="71"/>
      <c r="N984" t="str">
        <f>IFERROR(IF(VLOOKUP(Tb_Activiteiten[[#This Row],[Openstelling]],Tb_Openstelling[],2,0)=1,1,""),"")</f>
        <v/>
      </c>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25">
      <c r="A985" s="337"/>
      <c r="F985" s="79"/>
      <c r="G985" s="79"/>
      <c r="L985" s="71"/>
      <c r="N985" t="str">
        <f>IFERROR(IF(VLOOKUP(Tb_Activiteiten[[#This Row],[Openstelling]],Tb_Openstelling[],2,0)=1,1,""),"")</f>
        <v/>
      </c>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25">
      <c r="A986" s="337"/>
      <c r="F986" s="79"/>
      <c r="G986" s="79"/>
      <c r="L986" s="71"/>
      <c r="N986" t="str">
        <f>IFERROR(IF(VLOOKUP(Tb_Activiteiten[[#This Row],[Openstelling]],Tb_Openstelling[],2,0)=1,1,""),"")</f>
        <v/>
      </c>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25">
      <c r="A987" s="337"/>
      <c r="F987" s="79"/>
      <c r="G987" s="79"/>
      <c r="L987" s="71"/>
      <c r="N987" t="str">
        <f>IFERROR(IF(VLOOKUP(Tb_Activiteiten[[#This Row],[Openstelling]],Tb_Openstelling[],2,0)=1,1,""),"")</f>
        <v/>
      </c>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25">
      <c r="A988" s="337"/>
      <c r="F988" s="79"/>
      <c r="G988" s="79"/>
      <c r="L988" s="71"/>
      <c r="N988" t="str">
        <f>IFERROR(IF(VLOOKUP(Tb_Activiteiten[[#This Row],[Openstelling]],Tb_Openstelling[],2,0)=1,1,""),"")</f>
        <v/>
      </c>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25">
      <c r="A989" s="337"/>
      <c r="F989" s="79"/>
      <c r="G989" s="79"/>
      <c r="L989" s="71"/>
      <c r="N989" t="str">
        <f>IFERROR(IF(VLOOKUP(Tb_Activiteiten[[#This Row],[Openstelling]],Tb_Openstelling[],2,0)=1,1,""),"")</f>
        <v/>
      </c>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25">
      <c r="A990" s="337"/>
      <c r="F990" s="79"/>
      <c r="G990" s="79"/>
      <c r="L990" s="71"/>
      <c r="N990" t="str">
        <f>IFERROR(IF(VLOOKUP(Tb_Activiteiten[[#This Row],[Openstelling]],Tb_Openstelling[],2,0)=1,1,""),"")</f>
        <v/>
      </c>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25">
      <c r="A991" s="337"/>
      <c r="F991" s="79"/>
      <c r="G991" s="79"/>
      <c r="L991" s="71"/>
      <c r="N991" t="str">
        <f>IFERROR(IF(VLOOKUP(Tb_Activiteiten[[#This Row],[Openstelling]],Tb_Openstelling[],2,0)=1,1,""),"")</f>
        <v/>
      </c>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25">
      <c r="A992" s="337"/>
      <c r="F992" s="79"/>
      <c r="G992" s="79"/>
      <c r="L992" s="71"/>
      <c r="N992" t="str">
        <f>IFERROR(IF(VLOOKUP(Tb_Activiteiten[[#This Row],[Openstelling]],Tb_Openstelling[],2,0)=1,1,""),"")</f>
        <v/>
      </c>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25">
      <c r="A993" s="337"/>
      <c r="F993" s="79"/>
      <c r="G993" s="79"/>
      <c r="L993" s="71"/>
      <c r="N993" t="str">
        <f>IFERROR(IF(VLOOKUP(Tb_Activiteiten[[#This Row],[Openstelling]],Tb_Openstelling[],2,0)=1,1,""),"")</f>
        <v/>
      </c>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25">
      <c r="A994" s="337"/>
      <c r="F994" s="79"/>
      <c r="G994" s="79"/>
      <c r="L994" s="71"/>
      <c r="N994" t="str">
        <f>IFERROR(IF(VLOOKUP(Tb_Activiteiten[[#This Row],[Openstelling]],Tb_Openstelling[],2,0)=1,1,""),"")</f>
        <v/>
      </c>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25">
      <c r="A995" s="337"/>
      <c r="F995" s="79"/>
      <c r="G995" s="79"/>
      <c r="L995" s="71"/>
      <c r="N995" t="str">
        <f>IFERROR(IF(VLOOKUP(Tb_Activiteiten[[#This Row],[Openstelling]],Tb_Openstelling[],2,0)=1,1,""),"")</f>
        <v/>
      </c>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25">
      <c r="A996" s="337"/>
      <c r="F996" s="79"/>
      <c r="G996" s="79"/>
      <c r="L996" s="71"/>
      <c r="N996" t="str">
        <f>IFERROR(IF(VLOOKUP(Tb_Activiteiten[[#This Row],[Openstelling]],Tb_Openstelling[],2,0)=1,1,""),"")</f>
        <v/>
      </c>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25">
      <c r="A997" s="337"/>
      <c r="F997" s="79"/>
      <c r="G997" s="79"/>
      <c r="L997" s="71"/>
      <c r="N997" t="str">
        <f>IFERROR(IF(VLOOKUP(Tb_Activiteiten[[#This Row],[Openstelling]],Tb_Openstelling[],2,0)=1,1,""),"")</f>
        <v/>
      </c>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25">
      <c r="A998" s="337"/>
      <c r="F998" s="79"/>
      <c r="G998" s="79"/>
      <c r="L998" s="71"/>
      <c r="N998" t="str">
        <f>IFERROR(IF(VLOOKUP(Tb_Activiteiten[[#This Row],[Openstelling]],Tb_Openstelling[],2,0)=1,1,""),"")</f>
        <v/>
      </c>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25">
      <c r="A999" s="337"/>
      <c r="F999" s="79"/>
      <c r="G999" s="79"/>
      <c r="L999" s="71"/>
      <c r="N999" t="str">
        <f>IFERROR(IF(VLOOKUP(Tb_Activiteiten[[#This Row],[Openstelling]],Tb_Openstelling[],2,0)=1,1,""),"")</f>
        <v/>
      </c>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25">
      <c r="A1000" s="337"/>
      <c r="F1000" s="79"/>
      <c r="G1000" s="79"/>
      <c r="L1000" s="71"/>
      <c r="N1000" t="str">
        <f>IFERROR(IF(VLOOKUP(Tb_Activiteiten[[#This Row],[Openstelling]],Tb_Openstelling[],2,0)=1,1,""),"")</f>
        <v/>
      </c>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25">
      <c r="A1001" s="190"/>
      <c r="B1001" s="190"/>
      <c r="C1001" s="190"/>
      <c r="D1001" s="190"/>
      <c r="E1001" s="190"/>
      <c r="F1001" s="190"/>
      <c r="G1001" s="190"/>
      <c r="L1001" s="71"/>
      <c r="N1001" t="str">
        <f>IFERROR(IF(VLOOKUP(Tb_Activiteiten[[#This Row],[Openstelling]],Tb_Openstelling[],2,0)=1,1,""),"")</f>
        <v/>
      </c>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25">
      <c r="A1002" s="190"/>
      <c r="B1002" s="190"/>
      <c r="C1002" s="190"/>
      <c r="D1002" s="190"/>
      <c r="E1002" s="190"/>
      <c r="F1002" s="190"/>
      <c r="G1002" s="190"/>
      <c r="L1002" s="71"/>
      <c r="N1002" t="str">
        <f>IFERROR(IF(VLOOKUP(Tb_Activiteiten[[#This Row],[Openstelling]],Tb_Openstelling[],2,0)=1,1,""),"")</f>
        <v/>
      </c>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25">
      <c r="A1003" s="190"/>
      <c r="B1003" s="190"/>
      <c r="C1003" s="190"/>
      <c r="D1003" s="190"/>
      <c r="E1003" s="190"/>
      <c r="F1003" s="190"/>
      <c r="G1003" s="190"/>
      <c r="L1003" s="71"/>
      <c r="N1003" t="str">
        <f>IFERROR(IF(VLOOKUP(Tb_Activiteiten[[#This Row],[Openstelling]],Tb_Openstelling[],2,0)=1,1,""),"")</f>
        <v/>
      </c>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25">
      <c r="A1004" s="190"/>
      <c r="B1004" s="190"/>
      <c r="C1004" s="190"/>
      <c r="D1004" s="190"/>
      <c r="E1004" s="190"/>
      <c r="F1004" s="190"/>
      <c r="G1004" s="190"/>
      <c r="L1004" s="71"/>
      <c r="N1004" t="str">
        <f>IFERROR(IF(VLOOKUP(Tb_Activiteiten[[#This Row],[Openstelling]],Tb_Openstelling[],2,0)=1,1,""),"")</f>
        <v/>
      </c>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25">
      <c r="A1005" s="190"/>
      <c r="B1005" s="190"/>
      <c r="C1005" s="190"/>
      <c r="D1005" s="190"/>
      <c r="E1005" s="190"/>
      <c r="F1005" s="190"/>
      <c r="G1005" s="190"/>
      <c r="L1005" s="71"/>
      <c r="N1005" t="str">
        <f>IFERROR(IF(VLOOKUP(Tb_Activiteiten[[#This Row],[Openstelling]],Tb_Openstelling[],2,0)=1,1,""),"")</f>
        <v/>
      </c>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25">
      <c r="A1006" s="190"/>
      <c r="B1006" s="190"/>
      <c r="C1006" s="190"/>
      <c r="D1006" s="190"/>
      <c r="E1006" s="190"/>
      <c r="F1006" s="190"/>
      <c r="G1006" s="190"/>
      <c r="L1006" s="71"/>
      <c r="N1006" t="str">
        <f>IFERROR(IF(VLOOKUP(Tb_Activiteiten[[#This Row],[Openstelling]],Tb_Openstelling[],2,0)=1,1,""),"")</f>
        <v/>
      </c>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25">
      <c r="A1007" s="190"/>
      <c r="B1007" s="190"/>
      <c r="C1007" s="190"/>
      <c r="D1007" s="190"/>
      <c r="E1007" s="190"/>
      <c r="F1007" s="190"/>
      <c r="G1007" s="190"/>
      <c r="L1007" s="71"/>
      <c r="N1007" t="str">
        <f>IFERROR(IF(VLOOKUP(Tb_Activiteiten[[#This Row],[Openstelling]],Tb_Openstelling[],2,0)=1,1,""),"")</f>
        <v/>
      </c>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25">
      <c r="A1008" s="190"/>
      <c r="B1008" s="190"/>
      <c r="C1008" s="190"/>
      <c r="D1008" s="190"/>
      <c r="E1008" s="190"/>
      <c r="F1008" s="190"/>
      <c r="G1008" s="190"/>
      <c r="L1008" s="71"/>
      <c r="N1008" t="str">
        <f>IFERROR(IF(VLOOKUP(Tb_Activiteiten[[#This Row],[Openstelling]],Tb_Openstelling[],2,0)=1,1,""),"")</f>
        <v/>
      </c>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25">
      <c r="A1009" s="190"/>
      <c r="B1009" s="190"/>
      <c r="C1009" s="190"/>
      <c r="D1009" s="190"/>
      <c r="E1009" s="190"/>
      <c r="F1009" s="190"/>
      <c r="G1009" s="190"/>
      <c r="L1009" s="71"/>
      <c r="N1009" t="str">
        <f>IFERROR(IF(VLOOKUP(Tb_Activiteiten[[#This Row],[Openstelling]],Tb_Openstelling[],2,0)=1,1,""),"")</f>
        <v/>
      </c>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25">
      <c r="A1010" s="190"/>
      <c r="B1010" s="190"/>
      <c r="C1010" s="190"/>
      <c r="D1010" s="190"/>
      <c r="E1010" s="190"/>
      <c r="F1010" s="190"/>
      <c r="G1010" s="190"/>
      <c r="L1010" s="71"/>
      <c r="N1010" t="str">
        <f>IFERROR(IF(VLOOKUP(Tb_Activiteiten[[#This Row],[Openstelling]],Tb_Openstelling[],2,0)=1,1,""),"")</f>
        <v/>
      </c>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25">
      <c r="A1011" s="190"/>
      <c r="B1011" s="190"/>
      <c r="C1011" s="190"/>
      <c r="D1011" s="190"/>
      <c r="E1011" s="190"/>
      <c r="F1011" s="190"/>
      <c r="G1011" s="190"/>
      <c r="L1011" s="71"/>
      <c r="N1011" t="str">
        <f>IFERROR(IF(VLOOKUP(Tb_Activiteiten[[#This Row],[Openstelling]],Tb_Openstelling[],2,0)=1,1,""),"")</f>
        <v/>
      </c>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25">
      <c r="A1012" s="190"/>
      <c r="B1012" s="190"/>
      <c r="C1012" s="190"/>
      <c r="D1012" s="190"/>
      <c r="E1012" s="190"/>
      <c r="F1012" s="190"/>
      <c r="G1012" s="190"/>
      <c r="L1012" s="71"/>
      <c r="N1012" t="str">
        <f>IFERROR(IF(VLOOKUP(Tb_Activiteiten[[#This Row],[Openstelling]],Tb_Openstelling[],2,0)=1,1,""),"")</f>
        <v/>
      </c>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25">
      <c r="A1013" s="190"/>
      <c r="B1013" s="190"/>
      <c r="C1013" s="190"/>
      <c r="D1013" s="190"/>
      <c r="E1013" s="190"/>
      <c r="F1013" s="190"/>
      <c r="G1013" s="190"/>
      <c r="L1013" s="71"/>
      <c r="N1013" t="str">
        <f>IFERROR(IF(VLOOKUP(Tb_Activiteiten[[#This Row],[Openstelling]],Tb_Openstelling[],2,0)=1,1,""),"")</f>
        <v/>
      </c>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25">
      <c r="A1014" s="190"/>
      <c r="B1014" s="190"/>
      <c r="C1014" s="190"/>
      <c r="D1014" s="190"/>
      <c r="E1014" s="190"/>
      <c r="F1014" s="190"/>
      <c r="G1014" s="190"/>
      <c r="L1014" s="71"/>
      <c r="N1014" t="str">
        <f>IFERROR(IF(VLOOKUP(Tb_Activiteiten[[#This Row],[Openstelling]],Tb_Openstelling[],2,0)=1,1,""),"")</f>
        <v/>
      </c>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25">
      <c r="A1015" s="190"/>
      <c r="B1015" s="190"/>
      <c r="C1015" s="190"/>
      <c r="D1015" s="190"/>
      <c r="E1015" s="190"/>
      <c r="F1015" s="190"/>
      <c r="G1015" s="190"/>
      <c r="L1015" s="71"/>
      <c r="N1015" t="str">
        <f>IFERROR(IF(VLOOKUP(Tb_Activiteiten[[#This Row],[Openstelling]],Tb_Openstelling[],2,0)=1,1,""),"")</f>
        <v/>
      </c>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25">
      <c r="A1016" s="190"/>
      <c r="B1016" s="190"/>
      <c r="C1016" s="190"/>
      <c r="D1016" s="190"/>
      <c r="E1016" s="190"/>
      <c r="F1016" s="190"/>
      <c r="G1016" s="190"/>
      <c r="L1016" s="71"/>
      <c r="N1016" t="str">
        <f>IFERROR(IF(VLOOKUP(Tb_Activiteiten[[#This Row],[Openstelling]],Tb_Openstelling[],2,0)=1,1,""),"")</f>
        <v/>
      </c>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25">
      <c r="A1017" s="190"/>
      <c r="B1017" s="190"/>
      <c r="C1017" s="190"/>
      <c r="D1017" s="190"/>
      <c r="E1017" s="190"/>
      <c r="F1017" s="190"/>
      <c r="G1017" s="190"/>
      <c r="L1017" s="71"/>
      <c r="N1017" t="str">
        <f>IFERROR(IF(VLOOKUP(Tb_Activiteiten[[#This Row],[Openstelling]],Tb_Openstelling[],2,0)=1,1,""),"")</f>
        <v/>
      </c>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25">
      <c r="A1018" s="190"/>
      <c r="B1018" s="190"/>
      <c r="C1018" s="190"/>
      <c r="D1018" s="190"/>
      <c r="E1018" s="190"/>
      <c r="F1018" s="190"/>
      <c r="G1018" s="190"/>
      <c r="L1018" s="71"/>
      <c r="N1018" t="str">
        <f>IFERROR(IF(VLOOKUP(Tb_Activiteiten[[#This Row],[Openstelling]],Tb_Openstelling[],2,0)=1,1,""),"")</f>
        <v/>
      </c>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25">
      <c r="A1019" s="190"/>
      <c r="B1019" s="190"/>
      <c r="C1019" s="190"/>
      <c r="D1019" s="190"/>
      <c r="E1019" s="190"/>
      <c r="F1019" s="190"/>
      <c r="G1019" s="190"/>
      <c r="L1019" s="71"/>
      <c r="N1019" t="str">
        <f>IFERROR(IF(VLOOKUP(Tb_Activiteiten[[#This Row],[Openstelling]],Tb_Openstelling[],2,0)=1,1,""),"")</f>
        <v/>
      </c>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25">
      <c r="A1020" s="190"/>
      <c r="B1020" s="190"/>
      <c r="C1020" s="190"/>
      <c r="D1020" s="190"/>
      <c r="E1020" s="190"/>
      <c r="F1020" s="190"/>
      <c r="G1020" s="190"/>
      <c r="L1020" s="71"/>
      <c r="N1020" t="str">
        <f>IFERROR(IF(VLOOKUP(Tb_Activiteiten[[#This Row],[Openstelling]],Tb_Openstelling[],2,0)=1,1,""),"")</f>
        <v/>
      </c>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25">
      <c r="A1021" s="190"/>
      <c r="B1021" s="190"/>
      <c r="C1021" s="190"/>
      <c r="D1021" s="190"/>
      <c r="E1021" s="190"/>
      <c r="F1021" s="190"/>
      <c r="G1021" s="190"/>
      <c r="L1021" s="71"/>
      <c r="N1021" t="str">
        <f>IFERROR(IF(VLOOKUP(Tb_Activiteiten[[#This Row],[Openstelling]],Tb_Openstelling[],2,0)=1,1,""),"")</f>
        <v/>
      </c>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25">
      <c r="A1022" s="190"/>
      <c r="B1022" s="190"/>
      <c r="C1022" s="190"/>
      <c r="D1022" s="190"/>
      <c r="E1022" s="190"/>
      <c r="F1022" s="190"/>
      <c r="G1022" s="190"/>
      <c r="L1022" s="71"/>
      <c r="N1022" t="str">
        <f>IFERROR(IF(VLOOKUP(Tb_Activiteiten[[#This Row],[Openstelling]],Tb_Openstelling[],2,0)=1,1,""),"")</f>
        <v/>
      </c>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25">
      <c r="A1023" s="190"/>
      <c r="B1023" s="190"/>
      <c r="C1023" s="190"/>
      <c r="D1023" s="190"/>
      <c r="E1023" s="190"/>
      <c r="F1023" s="190"/>
      <c r="G1023" s="190"/>
      <c r="L1023" s="71"/>
      <c r="N1023" t="str">
        <f>IFERROR(IF(VLOOKUP(Tb_Activiteiten[[#This Row],[Openstelling]],Tb_Openstelling[],2,0)=1,1,""),"")</f>
        <v/>
      </c>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25">
      <c r="A1024" s="190"/>
      <c r="B1024" s="190"/>
      <c r="C1024" s="190"/>
      <c r="D1024" s="190"/>
      <c r="E1024" s="190"/>
      <c r="F1024" s="190"/>
      <c r="G1024" s="190"/>
      <c r="L1024" s="71"/>
      <c r="N1024" t="str">
        <f>IFERROR(IF(VLOOKUP(Tb_Activiteiten[[#This Row],[Openstelling]],Tb_Openstelling[],2,0)=1,1,""),"")</f>
        <v/>
      </c>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25">
      <c r="A1025" s="190"/>
      <c r="B1025" s="190"/>
      <c r="C1025" s="190"/>
      <c r="D1025" s="190"/>
      <c r="E1025" s="190"/>
      <c r="F1025" s="190"/>
      <c r="G1025" s="190"/>
      <c r="L1025" s="71"/>
      <c r="N1025" t="str">
        <f>IFERROR(IF(VLOOKUP(Tb_Activiteiten[[#This Row],[Openstelling]],Tb_Openstelling[],2,0)=1,1,""),"")</f>
        <v/>
      </c>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25">
      <c r="A1026" s="190"/>
      <c r="B1026" s="190"/>
      <c r="C1026" s="190"/>
      <c r="D1026" s="190"/>
      <c r="E1026" s="190"/>
      <c r="F1026" s="190"/>
      <c r="G1026" s="190"/>
      <c r="L1026" s="71"/>
      <c r="N1026" t="str">
        <f>IFERROR(IF(VLOOKUP(Tb_Activiteiten[[#This Row],[Openstelling]],Tb_Openstelling[],2,0)=1,1,""),"")</f>
        <v/>
      </c>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25">
      <c r="A1027" s="190"/>
      <c r="B1027" s="190"/>
      <c r="C1027" s="190"/>
      <c r="D1027" s="190"/>
      <c r="E1027" s="190"/>
      <c r="F1027" s="190"/>
      <c r="G1027" s="190"/>
      <c r="L1027" s="71"/>
      <c r="N1027" t="str">
        <f>IFERROR(IF(VLOOKUP(Tb_Activiteiten[[#This Row],[Openstelling]],Tb_Openstelling[],2,0)=1,1,""),"")</f>
        <v/>
      </c>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25">
      <c r="A1028" s="190"/>
      <c r="B1028" s="190"/>
      <c r="C1028" s="190"/>
      <c r="D1028" s="190"/>
      <c r="E1028" s="190"/>
      <c r="F1028" s="190"/>
      <c r="G1028" s="190"/>
      <c r="L1028" s="71"/>
      <c r="N1028" t="str">
        <f>IFERROR(IF(VLOOKUP(Tb_Activiteiten[[#This Row],[Openstelling]],Tb_Openstelling[],2,0)=1,1,""),"")</f>
        <v/>
      </c>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25">
      <c r="A1029" s="190"/>
      <c r="B1029" s="190"/>
      <c r="C1029" s="190"/>
      <c r="D1029" s="190"/>
      <c r="E1029" s="190"/>
      <c r="F1029" s="190"/>
      <c r="G1029" s="190"/>
      <c r="L1029" s="71"/>
      <c r="N1029" t="str">
        <f>IFERROR(IF(VLOOKUP(Tb_Activiteiten[[#This Row],[Openstelling]],Tb_Openstelling[],2,0)=1,1,""),"")</f>
        <v/>
      </c>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25">
      <c r="A1030" s="190"/>
      <c r="B1030" s="190"/>
      <c r="C1030" s="190"/>
      <c r="D1030" s="190"/>
      <c r="E1030" s="190"/>
      <c r="F1030" s="190"/>
      <c r="G1030" s="190"/>
      <c r="L1030" s="71"/>
      <c r="N1030" t="str">
        <f>IFERROR(IF(VLOOKUP(Tb_Activiteiten[[#This Row],[Openstelling]],Tb_Openstelling[],2,0)=1,1,""),"")</f>
        <v/>
      </c>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25">
      <c r="A1031" s="190"/>
      <c r="B1031" s="190"/>
      <c r="C1031" s="190"/>
      <c r="D1031" s="190"/>
      <c r="E1031" s="190"/>
      <c r="F1031" s="190"/>
      <c r="G1031" s="190"/>
      <c r="L1031" s="71"/>
      <c r="N1031" t="str">
        <f>IFERROR(IF(VLOOKUP(Tb_Activiteiten[[#This Row],[Openstelling]],Tb_Openstelling[],2,0)=1,1,""),"")</f>
        <v/>
      </c>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25">
      <c r="A1032" s="190"/>
      <c r="B1032" s="190"/>
      <c r="C1032" s="190"/>
      <c r="D1032" s="190"/>
      <c r="E1032" s="190"/>
      <c r="F1032" s="190"/>
      <c r="G1032" s="190"/>
      <c r="L1032" s="71"/>
      <c r="N1032" t="str">
        <f>IFERROR(IF(VLOOKUP(Tb_Activiteiten[[#This Row],[Openstelling]],Tb_Openstelling[],2,0)=1,1,""),"")</f>
        <v/>
      </c>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25">
      <c r="A1033" s="190"/>
      <c r="B1033" s="190"/>
      <c r="C1033" s="190"/>
      <c r="D1033" s="190"/>
      <c r="E1033" s="190"/>
      <c r="F1033" s="190"/>
      <c r="G1033" s="190"/>
      <c r="L1033" s="71"/>
      <c r="N1033" t="str">
        <f>IFERROR(IF(VLOOKUP(Tb_Activiteiten[[#This Row],[Openstelling]],Tb_Openstelling[],2,0)=1,1,""),"")</f>
        <v/>
      </c>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25">
      <c r="A1034" s="190"/>
      <c r="B1034" s="190"/>
      <c r="C1034" s="190"/>
      <c r="D1034" s="190"/>
      <c r="E1034" s="190"/>
      <c r="F1034" s="190"/>
      <c r="G1034" s="190"/>
      <c r="L1034" s="71"/>
      <c r="N1034" t="str">
        <f>IFERROR(IF(VLOOKUP(Tb_Activiteiten[[#This Row],[Openstelling]],Tb_Openstelling[],2,0)=1,1,""),"")</f>
        <v/>
      </c>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25">
      <c r="A1035" s="190"/>
      <c r="B1035" s="190"/>
      <c r="C1035" s="190"/>
      <c r="D1035" s="190"/>
      <c r="E1035" s="190"/>
      <c r="F1035" s="190"/>
      <c r="G1035" s="190"/>
      <c r="L1035" s="71"/>
      <c r="N1035" t="str">
        <f>IFERROR(IF(VLOOKUP(Tb_Activiteiten[[#This Row],[Openstelling]],Tb_Openstelling[],2,0)=1,1,""),"")</f>
        <v/>
      </c>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25">
      <c r="A1036" s="190"/>
      <c r="B1036" s="190"/>
      <c r="C1036" s="190"/>
      <c r="D1036" s="190"/>
      <c r="E1036" s="190"/>
      <c r="F1036" s="190"/>
      <c r="G1036" s="190"/>
      <c r="L1036" s="71"/>
      <c r="N1036" t="str">
        <f>IFERROR(IF(VLOOKUP(Tb_Activiteiten[[#This Row],[Openstelling]],Tb_Openstelling[],2,0)=1,1,""),"")</f>
        <v/>
      </c>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25">
      <c r="A1037" s="190"/>
      <c r="B1037" s="190"/>
      <c r="C1037" s="190"/>
      <c r="D1037" s="190"/>
      <c r="E1037" s="190"/>
      <c r="F1037" s="190"/>
      <c r="G1037" s="190"/>
      <c r="L1037" s="71"/>
      <c r="N1037" t="str">
        <f>IFERROR(IF(VLOOKUP(Tb_Activiteiten[[#This Row],[Openstelling]],Tb_Openstelling[],2,0)=1,1,""),"")</f>
        <v/>
      </c>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25">
      <c r="A1038" s="190"/>
      <c r="B1038" s="190"/>
      <c r="C1038" s="190"/>
      <c r="D1038" s="190"/>
      <c r="E1038" s="190"/>
      <c r="F1038" s="190"/>
      <c r="G1038" s="190"/>
      <c r="L1038" s="71"/>
      <c r="N1038" t="str">
        <f>IFERROR(IF(VLOOKUP(Tb_Activiteiten[[#This Row],[Openstelling]],Tb_Openstelling[],2,0)=1,1,""),"")</f>
        <v/>
      </c>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25">
      <c r="A1039" s="190"/>
      <c r="B1039" s="190"/>
      <c r="C1039" s="190"/>
      <c r="D1039" s="190"/>
      <c r="E1039" s="190"/>
      <c r="F1039" s="190"/>
      <c r="G1039" s="190"/>
      <c r="L1039" s="71"/>
      <c r="N1039" t="str">
        <f>IFERROR(IF(VLOOKUP(Tb_Activiteiten[[#This Row],[Openstelling]],Tb_Openstelling[],2,0)=1,1,""),"")</f>
        <v/>
      </c>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25">
      <c r="A1040" s="190"/>
      <c r="B1040" s="190"/>
      <c r="C1040" s="190"/>
      <c r="D1040" s="190"/>
      <c r="E1040" s="190"/>
      <c r="F1040" s="190"/>
      <c r="G1040" s="190"/>
      <c r="L1040" s="71"/>
      <c r="N1040" t="str">
        <f>IFERROR(IF(VLOOKUP(Tb_Activiteiten[[#This Row],[Openstelling]],Tb_Openstelling[],2,0)=1,1,""),"")</f>
        <v/>
      </c>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25">
      <c r="A1041" s="190"/>
      <c r="B1041" s="190"/>
      <c r="C1041" s="190"/>
      <c r="D1041" s="190"/>
      <c r="E1041" s="190"/>
      <c r="F1041" s="190"/>
      <c r="G1041" s="190"/>
      <c r="L1041" s="71"/>
      <c r="N1041" t="str">
        <f>IFERROR(IF(VLOOKUP(Tb_Activiteiten[[#This Row],[Openstelling]],Tb_Openstelling[],2,0)=1,1,""),"")</f>
        <v/>
      </c>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25">
      <c r="A1042" s="190"/>
      <c r="B1042" s="190"/>
      <c r="C1042" s="190"/>
      <c r="D1042" s="190"/>
      <c r="E1042" s="190"/>
      <c r="F1042" s="190"/>
      <c r="G1042" s="190"/>
      <c r="L1042" s="71"/>
      <c r="N1042" t="str">
        <f>IFERROR(IF(VLOOKUP(Tb_Activiteiten[[#This Row],[Openstelling]],Tb_Openstelling[],2,0)=1,1,""),"")</f>
        <v/>
      </c>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25">
      <c r="A1043" s="190"/>
      <c r="B1043" s="190"/>
      <c r="C1043" s="190"/>
      <c r="D1043" s="190"/>
      <c r="E1043" s="190"/>
      <c r="F1043" s="190"/>
      <c r="G1043" s="190"/>
      <c r="L1043" s="71"/>
      <c r="N1043" t="str">
        <f>IFERROR(IF(VLOOKUP(Tb_Activiteiten[[#This Row],[Openstelling]],Tb_Openstelling[],2,0)=1,1,""),"")</f>
        <v/>
      </c>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25">
      <c r="A1044" s="190"/>
      <c r="B1044" s="190"/>
      <c r="C1044" s="190"/>
      <c r="D1044" s="190"/>
      <c r="E1044" s="190"/>
      <c r="F1044" s="190"/>
      <c r="G1044" s="190"/>
      <c r="L1044" s="71"/>
      <c r="N1044" t="str">
        <f>IFERROR(IF(VLOOKUP(Tb_Activiteiten[[#This Row],[Openstelling]],Tb_Openstelling[],2,0)=1,1,""),"")</f>
        <v/>
      </c>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25">
      <c r="A1045" s="190"/>
      <c r="B1045" s="190"/>
      <c r="C1045" s="190"/>
      <c r="D1045" s="190"/>
      <c r="E1045" s="190"/>
      <c r="F1045" s="190"/>
      <c r="G1045" s="190"/>
      <c r="L1045" s="71"/>
      <c r="N1045" t="str">
        <f>IFERROR(IF(VLOOKUP(Tb_Activiteiten[[#This Row],[Openstelling]],Tb_Openstelling[],2,0)=1,1,""),"")</f>
        <v/>
      </c>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25">
      <c r="A1046" s="190"/>
      <c r="B1046" s="190"/>
      <c r="C1046" s="190"/>
      <c r="D1046" s="190"/>
      <c r="E1046" s="190"/>
      <c r="F1046" s="190"/>
      <c r="G1046" s="190"/>
      <c r="L1046" s="71"/>
      <c r="N1046" t="str">
        <f>IFERROR(IF(VLOOKUP(Tb_Activiteiten[[#This Row],[Openstelling]],Tb_Openstelling[],2,0)=1,1,""),"")</f>
        <v/>
      </c>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25">
      <c r="A1047" s="190"/>
      <c r="B1047" s="190"/>
      <c r="C1047" s="190"/>
      <c r="D1047" s="190"/>
      <c r="E1047" s="190"/>
      <c r="F1047" s="190"/>
      <c r="G1047" s="190"/>
      <c r="L1047" s="71"/>
      <c r="N1047" t="str">
        <f>IFERROR(IF(VLOOKUP(Tb_Activiteiten[[#This Row],[Openstelling]],Tb_Openstelling[],2,0)=1,1,""),"")</f>
        <v/>
      </c>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25">
      <c r="A1048" s="190"/>
      <c r="B1048" s="190"/>
      <c r="C1048" s="190"/>
      <c r="D1048" s="190"/>
      <c r="E1048" s="190"/>
      <c r="F1048" s="190"/>
      <c r="G1048" s="190"/>
      <c r="L1048" s="71"/>
      <c r="N1048" t="str">
        <f>IFERROR(IF(VLOOKUP(Tb_Activiteiten[[#This Row],[Openstelling]],Tb_Openstelling[],2,0)=1,1,""),"")</f>
        <v/>
      </c>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25">
      <c r="A1049" s="190"/>
      <c r="B1049" s="190"/>
      <c r="C1049" s="190"/>
      <c r="D1049" s="190"/>
      <c r="E1049" s="190"/>
      <c r="F1049" s="190"/>
      <c r="G1049" s="190"/>
      <c r="L1049" s="71"/>
      <c r="N1049" t="str">
        <f>IFERROR(IF(VLOOKUP(Tb_Activiteiten[[#This Row],[Openstelling]],Tb_Openstelling[],2,0)=1,1,""),"")</f>
        <v/>
      </c>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25">
      <c r="A1050" s="190"/>
      <c r="B1050" s="190"/>
      <c r="C1050" s="190"/>
      <c r="D1050" s="190"/>
      <c r="E1050" s="190"/>
      <c r="F1050" s="190"/>
      <c r="G1050" s="190"/>
      <c r="L1050" s="71"/>
      <c r="N1050" t="str">
        <f>IFERROR(IF(VLOOKUP(Tb_Activiteiten[[#This Row],[Openstelling]],Tb_Openstelling[],2,0)=1,1,""),"")</f>
        <v/>
      </c>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25">
      <c r="A1051" s="190"/>
      <c r="B1051" s="190"/>
      <c r="C1051" s="190"/>
      <c r="D1051" s="190"/>
      <c r="E1051" s="190"/>
      <c r="F1051" s="190"/>
      <c r="G1051" s="190"/>
      <c r="L1051" s="71"/>
      <c r="N1051" t="str">
        <f>IFERROR(IF(VLOOKUP(Tb_Activiteiten[[#This Row],[Openstelling]],Tb_Openstelling[],2,0)=1,1,""),"")</f>
        <v/>
      </c>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25">
      <c r="A1052" s="190"/>
      <c r="B1052" s="190"/>
      <c r="C1052" s="190"/>
      <c r="D1052" s="190"/>
      <c r="E1052" s="190"/>
      <c r="F1052" s="190"/>
      <c r="G1052" s="190"/>
      <c r="L1052" s="71"/>
      <c r="N1052" t="str">
        <f>IFERROR(IF(VLOOKUP(Tb_Activiteiten[[#This Row],[Openstelling]],Tb_Openstelling[],2,0)=1,1,""),"")</f>
        <v/>
      </c>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25">
      <c r="A1053" s="190"/>
      <c r="B1053" s="190"/>
      <c r="C1053" s="190"/>
      <c r="D1053" s="190"/>
      <c r="E1053" s="190"/>
      <c r="F1053" s="190"/>
      <c r="G1053" s="190"/>
      <c r="L1053" s="71"/>
      <c r="N1053" t="str">
        <f>IFERROR(IF(VLOOKUP(Tb_Activiteiten[[#This Row],[Openstelling]],Tb_Openstelling[],2,0)=1,1,""),"")</f>
        <v/>
      </c>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25">
      <c r="A1054" s="190"/>
      <c r="B1054" s="190"/>
      <c r="C1054" s="190"/>
      <c r="D1054" s="190"/>
      <c r="E1054" s="190"/>
      <c r="F1054" s="190"/>
      <c r="G1054" s="190"/>
      <c r="L1054" s="71"/>
      <c r="N1054" t="str">
        <f>IFERROR(IF(VLOOKUP(Tb_Activiteiten[[#This Row],[Openstelling]],Tb_Openstelling[],2,0)=1,1,""),"")</f>
        <v/>
      </c>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25">
      <c r="A1055" s="190"/>
      <c r="B1055" s="190"/>
      <c r="C1055" s="190"/>
      <c r="D1055" s="190"/>
      <c r="E1055" s="190"/>
      <c r="F1055" s="190"/>
      <c r="G1055" s="190"/>
      <c r="L1055" s="71"/>
      <c r="N1055" t="str">
        <f>IFERROR(IF(VLOOKUP(Tb_Activiteiten[[#This Row],[Openstelling]],Tb_Openstelling[],2,0)=1,1,""),"")</f>
        <v/>
      </c>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25">
      <c r="A1056" s="190"/>
      <c r="B1056" s="190"/>
      <c r="C1056" s="190"/>
      <c r="D1056" s="190"/>
      <c r="E1056" s="190"/>
      <c r="F1056" s="190"/>
      <c r="G1056" s="190"/>
      <c r="L1056" s="71"/>
      <c r="N1056" t="str">
        <f>IFERROR(IF(VLOOKUP(Tb_Activiteiten[[#This Row],[Openstelling]],Tb_Openstelling[],2,0)=1,1,""),"")</f>
        <v/>
      </c>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25">
      <c r="A1057" s="190"/>
      <c r="B1057" s="190"/>
      <c r="C1057" s="190"/>
      <c r="D1057" s="190"/>
      <c r="E1057" s="190"/>
      <c r="F1057" s="190"/>
      <c r="G1057" s="190"/>
      <c r="L1057" s="71"/>
      <c r="N1057" t="str">
        <f>IFERROR(IF(VLOOKUP(Tb_Activiteiten[[#This Row],[Openstelling]],Tb_Openstelling[],2,0)=1,1,""),"")</f>
        <v/>
      </c>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25">
      <c r="A1058" s="190"/>
      <c r="B1058" s="190"/>
      <c r="C1058" s="190"/>
      <c r="D1058" s="190"/>
      <c r="E1058" s="190"/>
      <c r="F1058" s="190"/>
      <c r="G1058" s="190"/>
      <c r="L1058" s="71"/>
      <c r="N1058" t="str">
        <f>IFERROR(IF(VLOOKUP(Tb_Activiteiten[[#This Row],[Openstelling]],Tb_Openstelling[],2,0)=1,1,""),"")</f>
        <v/>
      </c>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25">
      <c r="A1059" s="190"/>
      <c r="B1059" s="190"/>
      <c r="C1059" s="190"/>
      <c r="D1059" s="190"/>
      <c r="E1059" s="190"/>
      <c r="F1059" s="190"/>
      <c r="G1059" s="190"/>
      <c r="L1059" s="71"/>
      <c r="N1059" t="str">
        <f>IFERROR(IF(VLOOKUP(Tb_Activiteiten[[#This Row],[Openstelling]],Tb_Openstelling[],2,0)=1,1,""),"")</f>
        <v/>
      </c>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25">
      <c r="A1060" s="190"/>
      <c r="B1060" s="190"/>
      <c r="C1060" s="190"/>
      <c r="D1060" s="190"/>
      <c r="E1060" s="190"/>
      <c r="F1060" s="190"/>
      <c r="G1060" s="190"/>
      <c r="L1060" s="71"/>
      <c r="N1060" t="str">
        <f>IFERROR(IF(VLOOKUP(Tb_Activiteiten[[#This Row],[Openstelling]],Tb_Openstelling[],2,0)=1,1,""),"")</f>
        <v/>
      </c>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25">
      <c r="A1061" s="190"/>
      <c r="B1061" s="190"/>
      <c r="C1061" s="190"/>
      <c r="D1061" s="190"/>
      <c r="E1061" s="190"/>
      <c r="F1061" s="190"/>
      <c r="G1061" s="190"/>
      <c r="L1061" s="71"/>
      <c r="N1061" t="str">
        <f>IFERROR(IF(VLOOKUP(Tb_Activiteiten[[#This Row],[Openstelling]],Tb_Openstelling[],2,0)=1,1,""),"")</f>
        <v/>
      </c>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25">
      <c r="A1062" s="190"/>
      <c r="B1062" s="190"/>
      <c r="C1062" s="190"/>
      <c r="D1062" s="190"/>
      <c r="E1062" s="190"/>
      <c r="F1062" s="190"/>
      <c r="G1062" s="190"/>
      <c r="L1062" s="71"/>
      <c r="N1062" t="str">
        <f>IFERROR(IF(VLOOKUP(Tb_Activiteiten[[#This Row],[Openstelling]],Tb_Openstelling[],2,0)=1,1,""),"")</f>
        <v/>
      </c>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25">
      <c r="A1063" s="190"/>
      <c r="B1063" s="190"/>
      <c r="C1063" s="190"/>
      <c r="D1063" s="190"/>
      <c r="E1063" s="190"/>
      <c r="F1063" s="190"/>
      <c r="G1063" s="190"/>
      <c r="L1063" s="71"/>
      <c r="N1063" t="str">
        <f>IFERROR(IF(VLOOKUP(Tb_Activiteiten[[#This Row],[Openstelling]],Tb_Openstelling[],2,0)=1,1,""),"")</f>
        <v/>
      </c>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25">
      <c r="A1064" s="190"/>
      <c r="B1064" s="190"/>
      <c r="C1064" s="190"/>
      <c r="D1064" s="190"/>
      <c r="E1064" s="190"/>
      <c r="F1064" s="190"/>
      <c r="G1064" s="190"/>
      <c r="L1064" s="71"/>
      <c r="N1064" t="str">
        <f>IFERROR(IF(VLOOKUP(Tb_Activiteiten[[#This Row],[Openstelling]],Tb_Openstelling[],2,0)=1,1,""),"")</f>
        <v/>
      </c>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25">
      <c r="A1065" s="190"/>
      <c r="B1065" s="190"/>
      <c r="C1065" s="190"/>
      <c r="D1065" s="190"/>
      <c r="E1065" s="190"/>
      <c r="F1065" s="190"/>
      <c r="G1065" s="190"/>
      <c r="L1065" s="71"/>
      <c r="N1065" t="str">
        <f>IFERROR(IF(VLOOKUP(Tb_Activiteiten[[#This Row],[Openstelling]],Tb_Openstelling[],2,0)=1,1,""),"")</f>
        <v/>
      </c>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25">
      <c r="A1066" s="190"/>
      <c r="B1066" s="190"/>
      <c r="C1066" s="190"/>
      <c r="D1066" s="190"/>
      <c r="E1066" s="190"/>
      <c r="F1066" s="190"/>
      <c r="G1066" s="190"/>
      <c r="L1066" s="71"/>
      <c r="N1066" t="str">
        <f>IFERROR(IF(VLOOKUP(Tb_Activiteiten[[#This Row],[Openstelling]],Tb_Openstelling[],2,0)=1,1,""),"")</f>
        <v/>
      </c>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25">
      <c r="A1067" s="190"/>
      <c r="B1067" s="190"/>
      <c r="C1067" s="190"/>
      <c r="D1067" s="190"/>
      <c r="E1067" s="190"/>
      <c r="F1067" s="190"/>
      <c r="G1067" s="190"/>
      <c r="L1067" s="71"/>
      <c r="N1067" t="str">
        <f>IFERROR(IF(VLOOKUP(Tb_Activiteiten[[#This Row],[Openstelling]],Tb_Openstelling[],2,0)=1,1,""),"")</f>
        <v/>
      </c>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25">
      <c r="A1068" s="190"/>
      <c r="B1068" s="190"/>
      <c r="C1068" s="190"/>
      <c r="D1068" s="190"/>
      <c r="E1068" s="190"/>
      <c r="F1068" s="190"/>
      <c r="G1068" s="190"/>
      <c r="L1068" s="71"/>
      <c r="N1068" t="str">
        <f>IFERROR(IF(VLOOKUP(Tb_Activiteiten[[#This Row],[Openstelling]],Tb_Openstelling[],2,0)=1,1,""),"")</f>
        <v/>
      </c>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25">
      <c r="A1069" s="190"/>
      <c r="B1069" s="190"/>
      <c r="C1069" s="190"/>
      <c r="D1069" s="190"/>
      <c r="E1069" s="190"/>
      <c r="F1069" s="190"/>
      <c r="G1069" s="190"/>
      <c r="L1069" s="71"/>
      <c r="N1069" t="str">
        <f>IFERROR(IF(VLOOKUP(Tb_Activiteiten[[#This Row],[Openstelling]],Tb_Openstelling[],2,0)=1,1,""),"")</f>
        <v/>
      </c>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25">
      <c r="A1070" s="190"/>
      <c r="B1070" s="190"/>
      <c r="C1070" s="190"/>
      <c r="D1070" s="190"/>
      <c r="E1070" s="190"/>
      <c r="F1070" s="190"/>
      <c r="G1070" s="190"/>
      <c r="L1070" s="71"/>
      <c r="N1070" t="str">
        <f>IFERROR(IF(VLOOKUP(Tb_Activiteiten[[#This Row],[Openstelling]],Tb_Openstelling[],2,0)=1,1,""),"")</f>
        <v/>
      </c>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25">
      <c r="A1071" s="190"/>
      <c r="B1071" s="190"/>
      <c r="C1071" s="190"/>
      <c r="D1071" s="190"/>
      <c r="E1071" s="190"/>
      <c r="F1071" s="190"/>
      <c r="G1071" s="190"/>
      <c r="L1071" s="71"/>
      <c r="N1071" t="str">
        <f>IFERROR(IF(VLOOKUP(Tb_Activiteiten[[#This Row],[Openstelling]],Tb_Openstelling[],2,0)=1,1,""),"")</f>
        <v/>
      </c>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25">
      <c r="A1072" s="190"/>
      <c r="B1072" s="190"/>
      <c r="C1072" s="190"/>
      <c r="D1072" s="190"/>
      <c r="E1072" s="190"/>
      <c r="F1072" s="190"/>
      <c r="G1072" s="190"/>
      <c r="L1072" s="71"/>
      <c r="N1072" t="str">
        <f>IFERROR(IF(VLOOKUP(Tb_Activiteiten[[#This Row],[Openstelling]],Tb_Openstelling[],2,0)=1,1,""),"")</f>
        <v/>
      </c>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25">
      <c r="A1073" s="190"/>
      <c r="B1073" s="190"/>
      <c r="C1073" s="190"/>
      <c r="D1073" s="190"/>
      <c r="E1073" s="190"/>
      <c r="F1073" s="190"/>
      <c r="G1073" s="190"/>
      <c r="L1073" s="71"/>
      <c r="N1073" t="str">
        <f>IFERROR(IF(VLOOKUP(Tb_Activiteiten[[#This Row],[Openstelling]],Tb_Openstelling[],2,0)=1,1,""),"")</f>
        <v/>
      </c>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25">
      <c r="A1074" s="190"/>
      <c r="B1074" s="190"/>
      <c r="C1074" s="190"/>
      <c r="D1074" s="190"/>
      <c r="E1074" s="190"/>
      <c r="F1074" s="190"/>
      <c r="G1074" s="190"/>
      <c r="L1074" s="71"/>
      <c r="N1074" t="str">
        <f>IFERROR(IF(VLOOKUP(Tb_Activiteiten[[#This Row],[Openstelling]],Tb_Openstelling[],2,0)=1,1,""),"")</f>
        <v/>
      </c>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25">
      <c r="A1075" s="190"/>
      <c r="B1075" s="190"/>
      <c r="C1075" s="190"/>
      <c r="D1075" s="190"/>
      <c r="E1075" s="190"/>
      <c r="F1075" s="190"/>
      <c r="G1075" s="190"/>
      <c r="L1075" s="71"/>
      <c r="N1075" t="str">
        <f>IFERROR(IF(VLOOKUP(Tb_Activiteiten[[#This Row],[Openstelling]],Tb_Openstelling[],2,0)=1,1,""),"")</f>
        <v/>
      </c>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25">
      <c r="A1076" s="190"/>
      <c r="B1076" s="190"/>
      <c r="C1076" s="190"/>
      <c r="D1076" s="190"/>
      <c r="E1076" s="190"/>
      <c r="F1076" s="190"/>
      <c r="G1076" s="190"/>
      <c r="L1076" s="71"/>
      <c r="N1076" t="str">
        <f>IFERROR(IF(VLOOKUP(Tb_Activiteiten[[#This Row],[Openstelling]],Tb_Openstelling[],2,0)=1,1,""),"")</f>
        <v/>
      </c>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25">
      <c r="A1077" s="190"/>
      <c r="B1077" s="190"/>
      <c r="C1077" s="190"/>
      <c r="D1077" s="190"/>
      <c r="E1077" s="190"/>
      <c r="F1077" s="190"/>
      <c r="G1077" s="190"/>
      <c r="L1077" s="71"/>
      <c r="N1077" t="str">
        <f>IFERROR(IF(VLOOKUP(Tb_Activiteiten[[#This Row],[Openstelling]],Tb_Openstelling[],2,0)=1,1,""),"")</f>
        <v/>
      </c>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25">
      <c r="A1078" s="190"/>
      <c r="B1078" s="190"/>
      <c r="C1078" s="190"/>
      <c r="D1078" s="190"/>
      <c r="E1078" s="190"/>
      <c r="F1078" s="190"/>
      <c r="G1078" s="190"/>
      <c r="L1078" s="71"/>
      <c r="N1078" t="str">
        <f>IFERROR(IF(VLOOKUP(Tb_Activiteiten[[#This Row],[Openstelling]],Tb_Openstelling[],2,0)=1,1,""),"")</f>
        <v/>
      </c>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25">
      <c r="A1079" s="190"/>
      <c r="B1079" s="190"/>
      <c r="C1079" s="190"/>
      <c r="D1079" s="190"/>
      <c r="E1079" s="190"/>
      <c r="F1079" s="190"/>
      <c r="G1079" s="190"/>
      <c r="L1079" s="71"/>
      <c r="N1079" t="str">
        <f>IFERROR(IF(VLOOKUP(Tb_Activiteiten[[#This Row],[Openstelling]],Tb_Openstelling[],2,0)=1,1,""),"")</f>
        <v/>
      </c>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25">
      <c r="A1080" s="190"/>
      <c r="B1080" s="190"/>
      <c r="C1080" s="190"/>
      <c r="D1080" s="190"/>
      <c r="E1080" s="190"/>
      <c r="F1080" s="190"/>
      <c r="G1080" s="190"/>
      <c r="L1080" s="71"/>
      <c r="N1080" t="str">
        <f>IFERROR(IF(VLOOKUP(Tb_Activiteiten[[#This Row],[Openstelling]],Tb_Openstelling[],2,0)=1,1,""),"")</f>
        <v/>
      </c>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25">
      <c r="A1081" s="190"/>
      <c r="B1081" s="190"/>
      <c r="C1081" s="190"/>
      <c r="D1081" s="190"/>
      <c r="E1081" s="190"/>
      <c r="F1081" s="190"/>
      <c r="G1081" s="190"/>
      <c r="L1081" s="71"/>
      <c r="N1081" t="str">
        <f>IFERROR(IF(VLOOKUP(Tb_Activiteiten[[#This Row],[Openstelling]],Tb_Openstelling[],2,0)=1,1,""),"")</f>
        <v/>
      </c>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25">
      <c r="A1082" s="190"/>
      <c r="B1082" s="190"/>
      <c r="C1082" s="190"/>
      <c r="D1082" s="190"/>
      <c r="E1082" s="190"/>
      <c r="F1082" s="190"/>
      <c r="G1082" s="190"/>
      <c r="L1082" s="71"/>
      <c r="N1082" t="str">
        <f>IFERROR(IF(VLOOKUP(Tb_Activiteiten[[#This Row],[Openstelling]],Tb_Openstelling[],2,0)=1,1,""),"")</f>
        <v/>
      </c>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25">
      <c r="A1083" s="190"/>
      <c r="B1083" s="190"/>
      <c r="C1083" s="190"/>
      <c r="D1083" s="190"/>
      <c r="E1083" s="190"/>
      <c r="F1083" s="190"/>
      <c r="G1083" s="190"/>
      <c r="L1083" s="71"/>
      <c r="N1083" t="str">
        <f>IFERROR(IF(VLOOKUP(Tb_Activiteiten[[#This Row],[Openstelling]],Tb_Openstelling[],2,0)=1,1,""),"")</f>
        <v/>
      </c>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25">
      <c r="A1084" s="190"/>
      <c r="B1084" s="190"/>
      <c r="C1084" s="190"/>
      <c r="D1084" s="190"/>
      <c r="E1084" s="190"/>
      <c r="F1084" s="190"/>
      <c r="G1084" s="190"/>
      <c r="L1084" s="71"/>
      <c r="N1084" t="str">
        <f>IFERROR(IF(VLOOKUP(Tb_Activiteiten[[#This Row],[Openstelling]],Tb_Openstelling[],2,0)=1,1,""),"")</f>
        <v/>
      </c>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25">
      <c r="A1085" s="190"/>
      <c r="B1085" s="190"/>
      <c r="C1085" s="190"/>
      <c r="D1085" s="190"/>
      <c r="E1085" s="190"/>
      <c r="F1085" s="190"/>
      <c r="G1085" s="190"/>
      <c r="L1085" s="71"/>
      <c r="N1085" t="str">
        <f>IFERROR(IF(VLOOKUP(Tb_Activiteiten[[#This Row],[Openstelling]],Tb_Openstelling[],2,0)=1,1,""),"")</f>
        <v/>
      </c>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25">
      <c r="A1086" s="190"/>
      <c r="B1086" s="190"/>
      <c r="C1086" s="190"/>
      <c r="D1086" s="190"/>
      <c r="E1086" s="190"/>
      <c r="F1086" s="190"/>
      <c r="G1086" s="190"/>
      <c r="L1086" s="71"/>
      <c r="N1086" t="str">
        <f>IFERROR(IF(VLOOKUP(Tb_Activiteiten[[#This Row],[Openstelling]],Tb_Openstelling[],2,0)=1,1,""),"")</f>
        <v/>
      </c>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25">
      <c r="A1087" s="190"/>
      <c r="B1087" s="190"/>
      <c r="C1087" s="190"/>
      <c r="D1087" s="190"/>
      <c r="E1087" s="190"/>
      <c r="F1087" s="190"/>
      <c r="G1087" s="190"/>
      <c r="L1087" s="71"/>
      <c r="N1087" t="str">
        <f>IFERROR(IF(VLOOKUP(Tb_Activiteiten[[#This Row],[Openstelling]],Tb_Openstelling[],2,0)=1,1,""),"")</f>
        <v/>
      </c>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25">
      <c r="A1088" s="190"/>
      <c r="B1088" s="190"/>
      <c r="C1088" s="190"/>
      <c r="D1088" s="190"/>
      <c r="E1088" s="190"/>
      <c r="F1088" s="190"/>
      <c r="G1088" s="190"/>
      <c r="L1088" s="71"/>
      <c r="N1088" t="str">
        <f>IFERROR(IF(VLOOKUP(Tb_Activiteiten[[#This Row],[Openstelling]],Tb_Openstelling[],2,0)=1,1,""),"")</f>
        <v/>
      </c>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25">
      <c r="A1089" s="190"/>
      <c r="B1089" s="190"/>
      <c r="C1089" s="190"/>
      <c r="D1089" s="190"/>
      <c r="E1089" s="190"/>
      <c r="F1089" s="190"/>
      <c r="G1089" s="190"/>
      <c r="L1089" s="71"/>
      <c r="N1089" t="str">
        <f>IFERROR(IF(VLOOKUP(Tb_Activiteiten[[#This Row],[Openstelling]],Tb_Openstelling[],2,0)=1,1,""),"")</f>
        <v/>
      </c>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25">
      <c r="A1090" s="190"/>
      <c r="B1090" s="190"/>
      <c r="C1090" s="190"/>
      <c r="D1090" s="190"/>
      <c r="E1090" s="190"/>
      <c r="F1090" s="190"/>
      <c r="G1090" s="190"/>
      <c r="L1090" s="71"/>
      <c r="N1090" t="str">
        <f>IFERROR(IF(VLOOKUP(Tb_Activiteiten[[#This Row],[Openstelling]],Tb_Openstelling[],2,0)=1,1,""),"")</f>
        <v/>
      </c>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25">
      <c r="A1091" s="190"/>
      <c r="B1091" s="190"/>
      <c r="C1091" s="190"/>
      <c r="D1091" s="190"/>
      <c r="E1091" s="190"/>
      <c r="F1091" s="190"/>
      <c r="G1091" s="190"/>
      <c r="L1091" s="71"/>
      <c r="N1091" t="str">
        <f>IFERROR(IF(VLOOKUP(Tb_Activiteiten[[#This Row],[Openstelling]],Tb_Openstelling[],2,0)=1,1,""),"")</f>
        <v/>
      </c>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25">
      <c r="A1092" s="190"/>
      <c r="B1092" s="190"/>
      <c r="C1092" s="190"/>
      <c r="D1092" s="190"/>
      <c r="E1092" s="190"/>
      <c r="F1092" s="190"/>
      <c r="G1092" s="190"/>
      <c r="L1092" s="71"/>
      <c r="N1092" t="str">
        <f>IFERROR(IF(VLOOKUP(Tb_Activiteiten[[#This Row],[Openstelling]],Tb_Openstelling[],2,0)=1,1,""),"")</f>
        <v/>
      </c>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25">
      <c r="A1093" s="190"/>
      <c r="B1093" s="190"/>
      <c r="C1093" s="190"/>
      <c r="D1093" s="190"/>
      <c r="E1093" s="190"/>
      <c r="F1093" s="190"/>
      <c r="G1093" s="190"/>
      <c r="L1093" s="71"/>
      <c r="N1093" t="str">
        <f>IFERROR(IF(VLOOKUP(Tb_Activiteiten[[#This Row],[Openstelling]],Tb_Openstelling[],2,0)=1,1,""),"")</f>
        <v/>
      </c>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25">
      <c r="A1094" s="190"/>
      <c r="B1094" s="190"/>
      <c r="C1094" s="190"/>
      <c r="D1094" s="190"/>
      <c r="E1094" s="190"/>
      <c r="F1094" s="190"/>
      <c r="G1094" s="190"/>
      <c r="L1094" s="71"/>
      <c r="N1094" t="str">
        <f>IFERROR(IF(VLOOKUP(Tb_Activiteiten[[#This Row],[Openstelling]],Tb_Openstelling[],2,0)=1,1,""),"")</f>
        <v/>
      </c>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25">
      <c r="A1095" s="190"/>
      <c r="B1095" s="190"/>
      <c r="C1095" s="190"/>
      <c r="D1095" s="190"/>
      <c r="E1095" s="190"/>
      <c r="F1095" s="190"/>
      <c r="G1095" s="190"/>
      <c r="L1095" s="71"/>
      <c r="N1095" t="str">
        <f>IFERROR(IF(VLOOKUP(Tb_Activiteiten[[#This Row],[Openstelling]],Tb_Openstelling[],2,0)=1,1,""),"")</f>
        <v/>
      </c>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25">
      <c r="A1096" s="190"/>
      <c r="B1096" s="190"/>
      <c r="C1096" s="190"/>
      <c r="D1096" s="190"/>
      <c r="E1096" s="190"/>
      <c r="F1096" s="190"/>
      <c r="G1096" s="190"/>
      <c r="L1096" s="71"/>
      <c r="N1096" t="str">
        <f>IFERROR(IF(VLOOKUP(Tb_Activiteiten[[#This Row],[Openstelling]],Tb_Openstelling[],2,0)=1,1,""),"")</f>
        <v/>
      </c>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25">
      <c r="A1097" s="190"/>
      <c r="B1097" s="190"/>
      <c r="C1097" s="190"/>
      <c r="D1097" s="190"/>
      <c r="E1097" s="190"/>
      <c r="F1097" s="190"/>
      <c r="G1097" s="190"/>
      <c r="L1097" s="71"/>
      <c r="N1097" t="str">
        <f>IFERROR(IF(VLOOKUP(Tb_Activiteiten[[#This Row],[Openstelling]],Tb_Openstelling[],2,0)=1,1,""),"")</f>
        <v/>
      </c>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25">
      <c r="A1098" s="190"/>
      <c r="B1098" s="190"/>
      <c r="C1098" s="190"/>
      <c r="D1098" s="190"/>
      <c r="E1098" s="190"/>
      <c r="F1098" s="190"/>
      <c r="G1098" s="190"/>
      <c r="L1098" s="71"/>
      <c r="N1098" t="str">
        <f>IFERROR(IF(VLOOKUP(Tb_Activiteiten[[#This Row],[Openstelling]],Tb_Openstelling[],2,0)=1,1,""),"")</f>
        <v/>
      </c>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25">
      <c r="A1099" s="190"/>
      <c r="B1099" s="190"/>
      <c r="C1099" s="190"/>
      <c r="D1099" s="190"/>
      <c r="E1099" s="190"/>
      <c r="F1099" s="190"/>
      <c r="G1099" s="190"/>
      <c r="L1099" s="71"/>
      <c r="N1099" t="str">
        <f>IFERROR(IF(VLOOKUP(Tb_Activiteiten[[#This Row],[Openstelling]],Tb_Openstelling[],2,0)=1,1,""),"")</f>
        <v/>
      </c>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25">
      <c r="A1100" s="190"/>
      <c r="B1100" s="190"/>
      <c r="C1100" s="190"/>
      <c r="D1100" s="190"/>
      <c r="E1100" s="190"/>
      <c r="F1100" s="190"/>
      <c r="G1100" s="190"/>
      <c r="L1100" s="71"/>
      <c r="N1100" t="str">
        <f>IFERROR(IF(VLOOKUP(Tb_Activiteiten[[#This Row],[Openstelling]],Tb_Openstelling[],2,0)=1,1,""),"")</f>
        <v/>
      </c>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25">
      <c r="A1101" s="190"/>
      <c r="B1101" s="190"/>
      <c r="C1101" s="190"/>
      <c r="D1101" s="190"/>
      <c r="E1101" s="190"/>
      <c r="F1101" s="190"/>
      <c r="G1101" s="190"/>
      <c r="L1101" s="71"/>
      <c r="N1101" t="str">
        <f>IFERROR(IF(VLOOKUP(Tb_Activiteiten[[#This Row],[Openstelling]],Tb_Openstelling[],2,0)=1,1,""),"")</f>
        <v/>
      </c>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25">
      <c r="A1102" s="190"/>
      <c r="B1102" s="190"/>
      <c r="C1102" s="190"/>
      <c r="D1102" s="190"/>
      <c r="E1102" s="190"/>
      <c r="F1102" s="190"/>
      <c r="G1102" s="190"/>
      <c r="L1102" s="71"/>
      <c r="N1102" t="str">
        <f>IFERROR(IF(VLOOKUP(Tb_Activiteiten[[#This Row],[Openstelling]],Tb_Openstelling[],2,0)=1,1,""),"")</f>
        <v/>
      </c>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25">
      <c r="A1103" s="190"/>
      <c r="B1103" s="190"/>
      <c r="C1103" s="190"/>
      <c r="D1103" s="190"/>
      <c r="E1103" s="190"/>
      <c r="F1103" s="190"/>
      <c r="G1103" s="190"/>
      <c r="L1103" s="71"/>
      <c r="N1103" t="str">
        <f>IFERROR(IF(VLOOKUP(Tb_Activiteiten[[#This Row],[Openstelling]],Tb_Openstelling[],2,0)=1,1,""),"")</f>
        <v/>
      </c>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25">
      <c r="A1104" s="190"/>
      <c r="B1104" s="190"/>
      <c r="C1104" s="190"/>
      <c r="D1104" s="190"/>
      <c r="E1104" s="190"/>
      <c r="F1104" s="190"/>
      <c r="G1104" s="190"/>
      <c r="L1104" s="71"/>
      <c r="N1104" t="str">
        <f>IFERROR(IF(VLOOKUP(Tb_Activiteiten[[#This Row],[Openstelling]],Tb_Openstelling[],2,0)=1,1,""),"")</f>
        <v/>
      </c>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25">
      <c r="A1105" s="190"/>
      <c r="B1105" s="190"/>
      <c r="C1105" s="190"/>
      <c r="D1105" s="190"/>
      <c r="E1105" s="190"/>
      <c r="F1105" s="190"/>
      <c r="G1105" s="190"/>
      <c r="L1105" s="71"/>
      <c r="N1105" t="str">
        <f>IFERROR(IF(VLOOKUP(Tb_Activiteiten[[#This Row],[Openstelling]],Tb_Openstelling[],2,0)=1,1,""),"")</f>
        <v/>
      </c>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25">
      <c r="A1106" s="190"/>
      <c r="B1106" s="190"/>
      <c r="C1106" s="190"/>
      <c r="D1106" s="190"/>
      <c r="E1106" s="190"/>
      <c r="F1106" s="190"/>
      <c r="G1106" s="190"/>
      <c r="L1106" s="71"/>
      <c r="N1106" t="str">
        <f>IFERROR(IF(VLOOKUP(Tb_Activiteiten[[#This Row],[Openstelling]],Tb_Openstelling[],2,0)=1,1,""),"")</f>
        <v/>
      </c>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25">
      <c r="A1107" s="190"/>
      <c r="B1107" s="190"/>
      <c r="C1107" s="190"/>
      <c r="D1107" s="190"/>
      <c r="E1107" s="190"/>
      <c r="F1107" s="190"/>
      <c r="G1107" s="190"/>
      <c r="L1107" s="71"/>
      <c r="N1107" t="str">
        <f>IFERROR(IF(VLOOKUP(Tb_Activiteiten[[#This Row],[Openstelling]],Tb_Openstelling[],2,0)=1,1,""),"")</f>
        <v/>
      </c>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25">
      <c r="A1108" s="190"/>
      <c r="B1108" s="190"/>
      <c r="C1108" s="190"/>
      <c r="D1108" s="190"/>
      <c r="E1108" s="190"/>
      <c r="F1108" s="190"/>
      <c r="G1108" s="190"/>
      <c r="L1108" s="71"/>
      <c r="N1108" t="str">
        <f>IFERROR(IF(VLOOKUP(Tb_Activiteiten[[#This Row],[Openstelling]],Tb_Openstelling[],2,0)=1,1,""),"")</f>
        <v/>
      </c>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25">
      <c r="A1109" s="190"/>
      <c r="B1109" s="190"/>
      <c r="C1109" s="190"/>
      <c r="D1109" s="190"/>
      <c r="E1109" s="190"/>
      <c r="F1109" s="190"/>
      <c r="G1109" s="190"/>
      <c r="L1109" s="71"/>
      <c r="N1109" t="str">
        <f>IFERROR(IF(VLOOKUP(Tb_Activiteiten[[#This Row],[Openstelling]],Tb_Openstelling[],2,0)=1,1,""),"")</f>
        <v/>
      </c>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25">
      <c r="A1110" s="190"/>
      <c r="B1110" s="190"/>
      <c r="C1110" s="190"/>
      <c r="D1110" s="190"/>
      <c r="E1110" s="190"/>
      <c r="F1110" s="190"/>
      <c r="G1110" s="190"/>
      <c r="L1110" s="71"/>
      <c r="N1110" t="str">
        <f>IFERROR(IF(VLOOKUP(Tb_Activiteiten[[#This Row],[Openstelling]],Tb_Openstelling[],2,0)=1,1,""),"")</f>
        <v/>
      </c>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25">
      <c r="A1111" s="190"/>
      <c r="B1111" s="190"/>
      <c r="C1111" s="190"/>
      <c r="D1111" s="190"/>
      <c r="E1111" s="190"/>
      <c r="F1111" s="190"/>
      <c r="G1111" s="190"/>
      <c r="L1111" s="71"/>
      <c r="N1111" t="str">
        <f>IFERROR(IF(VLOOKUP(Tb_Activiteiten[[#This Row],[Openstelling]],Tb_Openstelling[],2,0)=1,1,""),"")</f>
        <v/>
      </c>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25">
      <c r="A1112" s="190"/>
      <c r="B1112" s="190"/>
      <c r="C1112" s="190"/>
      <c r="D1112" s="190"/>
      <c r="E1112" s="190"/>
      <c r="F1112" s="190"/>
      <c r="G1112" s="190"/>
      <c r="L1112" s="71"/>
      <c r="N1112" t="str">
        <f>IFERROR(IF(VLOOKUP(Tb_Activiteiten[[#This Row],[Openstelling]],Tb_Openstelling[],2,0)=1,1,""),"")</f>
        <v/>
      </c>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25">
      <c r="A1113" s="190"/>
      <c r="B1113" s="190"/>
      <c r="C1113" s="190"/>
      <c r="D1113" s="190"/>
      <c r="E1113" s="190"/>
      <c r="F1113" s="190"/>
      <c r="G1113" s="190"/>
      <c r="L1113" s="71"/>
      <c r="N1113" t="str">
        <f>IFERROR(IF(VLOOKUP(Tb_Activiteiten[[#This Row],[Openstelling]],Tb_Openstelling[],2,0)=1,1,""),"")</f>
        <v/>
      </c>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25">
      <c r="A1114" s="190"/>
      <c r="B1114" s="190"/>
      <c r="C1114" s="190"/>
      <c r="D1114" s="190"/>
      <c r="E1114" s="190"/>
      <c r="F1114" s="190"/>
      <c r="G1114" s="190"/>
      <c r="L1114" s="71"/>
      <c r="N1114" t="str">
        <f>IFERROR(IF(VLOOKUP(Tb_Activiteiten[[#This Row],[Openstelling]],Tb_Openstelling[],2,0)=1,1,""),"")</f>
        <v/>
      </c>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25">
      <c r="A1115" s="190"/>
      <c r="B1115" s="190"/>
      <c r="C1115" s="190"/>
      <c r="D1115" s="190"/>
      <c r="E1115" s="190"/>
      <c r="F1115" s="190"/>
      <c r="G1115" s="190"/>
      <c r="L1115" s="71"/>
      <c r="N1115" t="str">
        <f>IFERROR(IF(VLOOKUP(Tb_Activiteiten[[#This Row],[Openstelling]],Tb_Openstelling[],2,0)=1,1,""),"")</f>
        <v/>
      </c>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25">
      <c r="A1116" s="190"/>
      <c r="B1116" s="190"/>
      <c r="C1116" s="190"/>
      <c r="D1116" s="190"/>
      <c r="E1116" s="190"/>
      <c r="F1116" s="190"/>
      <c r="G1116" s="190"/>
      <c r="L1116" s="71"/>
      <c r="N1116" t="str">
        <f>IFERROR(IF(VLOOKUP(Tb_Activiteiten[[#This Row],[Openstelling]],Tb_Openstelling[],2,0)=1,1,""),"")</f>
        <v/>
      </c>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25">
      <c r="A1117" s="190"/>
      <c r="B1117" s="190"/>
      <c r="C1117" s="190"/>
      <c r="D1117" s="190"/>
      <c r="E1117" s="190"/>
      <c r="F1117" s="190"/>
      <c r="G1117" s="190"/>
      <c r="L1117" s="71"/>
      <c r="N1117" t="str">
        <f>IFERROR(IF(VLOOKUP(Tb_Activiteiten[[#This Row],[Openstelling]],Tb_Openstelling[],2,0)=1,1,""),"")</f>
        <v/>
      </c>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25">
      <c r="A1118" s="190"/>
      <c r="B1118" s="190"/>
      <c r="C1118" s="190"/>
      <c r="D1118" s="190"/>
      <c r="E1118" s="190"/>
      <c r="F1118" s="190"/>
      <c r="G1118" s="190"/>
      <c r="L1118" s="71"/>
      <c r="N1118" t="str">
        <f>IFERROR(IF(VLOOKUP(Tb_Activiteiten[[#This Row],[Openstelling]],Tb_Openstelling[],2,0)=1,1,""),"")</f>
        <v/>
      </c>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25">
      <c r="A1119" s="190"/>
      <c r="B1119" s="190"/>
      <c r="C1119" s="190"/>
      <c r="D1119" s="190"/>
      <c r="E1119" s="190"/>
      <c r="F1119" s="190"/>
      <c r="G1119" s="190"/>
      <c r="L1119" s="71"/>
      <c r="N1119" t="str">
        <f>IFERROR(IF(VLOOKUP(Tb_Activiteiten[[#This Row],[Openstelling]],Tb_Openstelling[],2,0)=1,1,""),"")</f>
        <v/>
      </c>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25">
      <c r="A1120" s="190"/>
      <c r="B1120" s="190"/>
      <c r="C1120" s="190"/>
      <c r="D1120" s="190"/>
      <c r="E1120" s="190"/>
      <c r="F1120" s="190"/>
      <c r="G1120" s="190"/>
      <c r="L1120" s="71"/>
      <c r="N1120" t="str">
        <f>IFERROR(IF(VLOOKUP(Tb_Activiteiten[[#This Row],[Openstelling]],Tb_Openstelling[],2,0)=1,1,""),"")</f>
        <v/>
      </c>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25">
      <c r="A1121" s="190"/>
      <c r="B1121" s="190"/>
      <c r="C1121" s="190"/>
      <c r="D1121" s="190"/>
      <c r="E1121" s="190"/>
      <c r="F1121" s="190"/>
      <c r="G1121" s="190"/>
      <c r="L1121" s="71"/>
      <c r="N1121" t="str">
        <f>IFERROR(IF(VLOOKUP(Tb_Activiteiten[[#This Row],[Openstelling]],Tb_Openstelling[],2,0)=1,1,""),"")</f>
        <v/>
      </c>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25">
      <c r="A1122" s="190"/>
      <c r="B1122" s="190"/>
      <c r="C1122" s="190"/>
      <c r="D1122" s="190"/>
      <c r="E1122" s="190"/>
      <c r="F1122" s="190"/>
      <c r="G1122" s="190"/>
      <c r="L1122" s="71"/>
      <c r="N1122" t="str">
        <f>IFERROR(IF(VLOOKUP(Tb_Activiteiten[[#This Row],[Openstelling]],Tb_Openstelling[],2,0)=1,1,""),"")</f>
        <v/>
      </c>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25">
      <c r="A1123" s="190"/>
      <c r="B1123" s="190"/>
      <c r="C1123" s="190"/>
      <c r="D1123" s="190"/>
      <c r="E1123" s="190"/>
      <c r="F1123" s="190"/>
      <c r="G1123" s="190"/>
      <c r="L1123" s="71"/>
      <c r="N1123" t="str">
        <f>IFERROR(IF(VLOOKUP(Tb_Activiteiten[[#This Row],[Openstelling]],Tb_Openstelling[],2,0)=1,1,""),"")</f>
        <v/>
      </c>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25">
      <c r="A1124" s="190"/>
      <c r="B1124" s="190"/>
      <c r="C1124" s="190"/>
      <c r="D1124" s="190"/>
      <c r="E1124" s="190"/>
      <c r="F1124" s="190"/>
      <c r="G1124" s="190"/>
      <c r="L1124" s="71"/>
      <c r="N1124" t="str">
        <f>IFERROR(IF(VLOOKUP(Tb_Activiteiten[[#This Row],[Openstelling]],Tb_Openstelling[],2,0)=1,1,""),"")</f>
        <v/>
      </c>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25">
      <c r="A1125" s="190"/>
      <c r="B1125" s="190"/>
      <c r="C1125" s="190"/>
      <c r="D1125" s="190"/>
      <c r="E1125" s="190"/>
      <c r="F1125" s="190"/>
      <c r="G1125" s="190"/>
      <c r="L1125" s="71"/>
      <c r="N1125" t="str">
        <f>IFERROR(IF(VLOOKUP(Tb_Activiteiten[[#This Row],[Openstelling]],Tb_Openstelling[],2,0)=1,1,""),"")</f>
        <v/>
      </c>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25">
      <c r="A1126" s="190"/>
      <c r="B1126" s="190"/>
      <c r="C1126" s="190"/>
      <c r="D1126" s="190"/>
      <c r="E1126" s="190"/>
      <c r="F1126" s="190"/>
      <c r="G1126" s="190"/>
      <c r="L1126" s="71"/>
      <c r="N1126" t="str">
        <f>IFERROR(IF(VLOOKUP(Tb_Activiteiten[[#This Row],[Openstelling]],Tb_Openstelling[],2,0)=1,1,""),"")</f>
        <v/>
      </c>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25">
      <c r="A1127" s="190"/>
      <c r="B1127" s="190"/>
      <c r="C1127" s="190"/>
      <c r="D1127" s="190"/>
      <c r="E1127" s="190"/>
      <c r="F1127" s="190"/>
      <c r="G1127" s="190"/>
      <c r="L1127" s="71"/>
      <c r="N1127" t="str">
        <f>IFERROR(IF(VLOOKUP(Tb_Activiteiten[[#This Row],[Openstelling]],Tb_Openstelling[],2,0)=1,1,""),"")</f>
        <v/>
      </c>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25">
      <c r="A1128" s="190"/>
      <c r="B1128" s="190"/>
      <c r="C1128" s="190"/>
      <c r="D1128" s="190"/>
      <c r="E1128" s="190"/>
      <c r="F1128" s="190"/>
      <c r="G1128" s="190"/>
      <c r="L1128" s="71"/>
      <c r="N1128" t="str">
        <f>IFERROR(IF(VLOOKUP(Tb_Activiteiten[[#This Row],[Openstelling]],Tb_Openstelling[],2,0)=1,1,""),"")</f>
        <v/>
      </c>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25">
      <c r="A1129" s="190"/>
      <c r="B1129" s="190"/>
      <c r="C1129" s="190"/>
      <c r="D1129" s="190"/>
      <c r="E1129" s="190"/>
      <c r="F1129" s="190"/>
      <c r="G1129" s="190"/>
      <c r="L1129" s="71"/>
      <c r="N1129" t="str">
        <f>IFERROR(IF(VLOOKUP(Tb_Activiteiten[[#This Row],[Openstelling]],Tb_Openstelling[],2,0)=1,1,""),"")</f>
        <v/>
      </c>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25">
      <c r="A1130" s="190"/>
      <c r="B1130" s="190"/>
      <c r="C1130" s="190"/>
      <c r="D1130" s="190"/>
      <c r="E1130" s="190"/>
      <c r="F1130" s="190"/>
      <c r="G1130" s="190"/>
      <c r="L1130" s="71"/>
      <c r="N1130" t="str">
        <f>IFERROR(IF(VLOOKUP(Tb_Activiteiten[[#This Row],[Openstelling]],Tb_Openstelling[],2,0)=1,1,""),"")</f>
        <v/>
      </c>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25">
      <c r="A1131" s="190"/>
      <c r="B1131" s="190"/>
      <c r="C1131" s="190"/>
      <c r="D1131" s="190"/>
      <c r="E1131" s="190"/>
      <c r="F1131" s="190"/>
      <c r="G1131" s="190"/>
      <c r="L1131" s="71"/>
      <c r="N1131" t="str">
        <f>IFERROR(IF(VLOOKUP(Tb_Activiteiten[[#This Row],[Openstelling]],Tb_Openstelling[],2,0)=1,1,""),"")</f>
        <v/>
      </c>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25">
      <c r="A1132" s="190"/>
      <c r="B1132" s="190"/>
      <c r="C1132" s="190"/>
      <c r="D1132" s="190"/>
      <c r="E1132" s="190"/>
      <c r="F1132" s="190"/>
      <c r="G1132" s="190"/>
      <c r="L1132" s="71"/>
      <c r="N1132" t="str">
        <f>IFERROR(IF(VLOOKUP(Tb_Activiteiten[[#This Row],[Openstelling]],Tb_Openstelling[],2,0)=1,1,""),"")</f>
        <v/>
      </c>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25">
      <c r="A1133" s="190"/>
      <c r="B1133" s="190"/>
      <c r="C1133" s="190"/>
      <c r="D1133" s="190"/>
      <c r="E1133" s="190"/>
      <c r="F1133" s="190"/>
      <c r="G1133" s="190"/>
      <c r="L1133" s="71"/>
      <c r="N1133" t="str">
        <f>IFERROR(IF(VLOOKUP(Tb_Activiteiten[[#This Row],[Openstelling]],Tb_Openstelling[],2,0)=1,1,""),"")</f>
        <v/>
      </c>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25">
      <c r="A1134" s="190"/>
      <c r="B1134" s="190"/>
      <c r="C1134" s="190"/>
      <c r="D1134" s="190"/>
      <c r="E1134" s="190"/>
      <c r="F1134" s="190"/>
      <c r="G1134" s="190"/>
      <c r="L1134" s="71"/>
      <c r="N1134" t="str">
        <f>IFERROR(IF(VLOOKUP(Tb_Activiteiten[[#This Row],[Openstelling]],Tb_Openstelling[],2,0)=1,1,""),"")</f>
        <v/>
      </c>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25">
      <c r="A1135" s="190"/>
      <c r="B1135" s="190"/>
      <c r="C1135" s="190"/>
      <c r="D1135" s="190"/>
      <c r="E1135" s="190"/>
      <c r="F1135" s="190"/>
      <c r="G1135" s="190"/>
      <c r="L1135" s="71"/>
      <c r="N1135" t="str">
        <f>IFERROR(IF(VLOOKUP(Tb_Activiteiten[[#This Row],[Openstelling]],Tb_Openstelling[],2,0)=1,1,""),"")</f>
        <v/>
      </c>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25">
      <c r="A1136" s="190"/>
      <c r="B1136" s="190"/>
      <c r="C1136" s="190"/>
      <c r="D1136" s="190"/>
      <c r="E1136" s="190"/>
      <c r="F1136" s="190"/>
      <c r="G1136" s="190"/>
      <c r="L1136" s="71"/>
      <c r="N1136" t="str">
        <f>IFERROR(IF(VLOOKUP(Tb_Activiteiten[[#This Row],[Openstelling]],Tb_Openstelling[],2,0)=1,1,""),"")</f>
        <v/>
      </c>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25">
      <c r="A1137" s="190"/>
      <c r="B1137" s="190"/>
      <c r="C1137" s="190"/>
      <c r="D1137" s="190"/>
      <c r="E1137" s="190"/>
      <c r="F1137" s="190"/>
      <c r="G1137" s="190"/>
      <c r="L1137" s="71"/>
      <c r="N1137" t="str">
        <f>IFERROR(IF(VLOOKUP(Tb_Activiteiten[[#This Row],[Openstelling]],Tb_Openstelling[],2,0)=1,1,""),"")</f>
        <v/>
      </c>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25">
      <c r="A1138" s="190"/>
      <c r="B1138" s="190"/>
      <c r="C1138" s="190"/>
      <c r="D1138" s="190"/>
      <c r="E1138" s="190"/>
      <c r="F1138" s="190"/>
      <c r="G1138" s="190"/>
      <c r="L1138" s="71"/>
      <c r="N1138" t="str">
        <f>IFERROR(IF(VLOOKUP(Tb_Activiteiten[[#This Row],[Openstelling]],Tb_Openstelling[],2,0)=1,1,""),"")</f>
        <v/>
      </c>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25">
      <c r="A1139" s="190"/>
      <c r="B1139" s="190"/>
      <c r="C1139" s="190"/>
      <c r="D1139" s="190"/>
      <c r="E1139" s="190"/>
      <c r="F1139" s="190"/>
      <c r="G1139" s="190"/>
      <c r="L1139" s="71"/>
      <c r="N1139" t="str">
        <f>IFERROR(IF(VLOOKUP(Tb_Activiteiten[[#This Row],[Openstelling]],Tb_Openstelling[],2,0)=1,1,""),"")</f>
        <v/>
      </c>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25">
      <c r="A1140" s="190"/>
      <c r="B1140" s="190"/>
      <c r="C1140" s="190"/>
      <c r="D1140" s="190"/>
      <c r="E1140" s="190"/>
      <c r="F1140" s="190"/>
      <c r="G1140" s="190"/>
      <c r="L1140" s="71"/>
      <c r="N1140" t="str">
        <f>IFERROR(IF(VLOOKUP(Tb_Activiteiten[[#This Row],[Openstelling]],Tb_Openstelling[],2,0)=1,1,""),"")</f>
        <v/>
      </c>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25">
      <c r="A1141" s="190"/>
      <c r="B1141" s="190"/>
      <c r="C1141" s="190"/>
      <c r="D1141" s="190"/>
      <c r="E1141" s="190"/>
      <c r="F1141" s="190"/>
      <c r="G1141" s="190"/>
      <c r="L1141" s="71"/>
      <c r="N1141" t="str">
        <f>IFERROR(IF(VLOOKUP(Tb_Activiteiten[[#This Row],[Openstelling]],Tb_Openstelling[],2,0)=1,1,""),"")</f>
        <v/>
      </c>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25">
      <c r="A1142" s="190"/>
      <c r="B1142" s="190"/>
      <c r="C1142" s="190"/>
      <c r="D1142" s="190"/>
      <c r="E1142" s="190"/>
      <c r="F1142" s="190"/>
      <c r="G1142" s="190"/>
      <c r="L1142" s="71"/>
      <c r="N1142" t="str">
        <f>IFERROR(IF(VLOOKUP(Tb_Activiteiten[[#This Row],[Openstelling]],Tb_Openstelling[],2,0)=1,1,""),"")</f>
        <v/>
      </c>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25">
      <c r="A1143" s="190"/>
      <c r="B1143" s="190"/>
      <c r="C1143" s="190"/>
      <c r="D1143" s="190"/>
      <c r="E1143" s="190"/>
      <c r="F1143" s="190"/>
      <c r="G1143" s="190"/>
      <c r="L1143" s="71"/>
      <c r="N1143" t="str">
        <f>IFERROR(IF(VLOOKUP(Tb_Activiteiten[[#This Row],[Openstelling]],Tb_Openstelling[],2,0)=1,1,""),"")</f>
        <v/>
      </c>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25">
      <c r="A1144" s="190"/>
      <c r="B1144" s="190"/>
      <c r="C1144" s="190"/>
      <c r="D1144" s="190"/>
      <c r="E1144" s="190"/>
      <c r="F1144" s="190"/>
      <c r="G1144" s="190"/>
      <c r="L1144" s="71"/>
      <c r="N1144" t="str">
        <f>IFERROR(IF(VLOOKUP(Tb_Activiteiten[[#This Row],[Openstelling]],Tb_Openstelling[],2,0)=1,1,""),"")</f>
        <v/>
      </c>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25">
      <c r="A1145" s="190"/>
      <c r="B1145" s="190"/>
      <c r="C1145" s="190"/>
      <c r="D1145" s="190"/>
      <c r="E1145" s="190"/>
      <c r="F1145" s="190"/>
      <c r="G1145" s="190"/>
      <c r="L1145" s="71"/>
      <c r="N1145" t="str">
        <f>IFERROR(IF(VLOOKUP(Tb_Activiteiten[[#This Row],[Openstelling]],Tb_Openstelling[],2,0)=1,1,""),"")</f>
        <v/>
      </c>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25">
      <c r="A1146" s="190"/>
      <c r="B1146" s="190"/>
      <c r="C1146" s="190"/>
      <c r="D1146" s="190"/>
      <c r="E1146" s="190"/>
      <c r="F1146" s="190"/>
      <c r="G1146" s="190"/>
      <c r="L1146" s="71"/>
      <c r="N1146" t="str">
        <f>IFERROR(IF(VLOOKUP(Tb_Activiteiten[[#This Row],[Openstelling]],Tb_Openstelling[],2,0)=1,1,""),"")</f>
        <v/>
      </c>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25">
      <c r="A1147" s="190"/>
      <c r="B1147" s="190"/>
      <c r="C1147" s="190"/>
      <c r="D1147" s="190"/>
      <c r="E1147" s="190"/>
      <c r="F1147" s="190"/>
      <c r="G1147" s="190"/>
      <c r="L1147" s="71"/>
      <c r="N1147" t="str">
        <f>IFERROR(IF(VLOOKUP(Tb_Activiteiten[[#This Row],[Openstelling]],Tb_Openstelling[],2,0)=1,1,""),"")</f>
        <v/>
      </c>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25">
      <c r="A1148" s="190"/>
      <c r="B1148" s="190"/>
      <c r="C1148" s="190"/>
      <c r="D1148" s="190"/>
      <c r="E1148" s="190"/>
      <c r="F1148" s="190"/>
      <c r="G1148" s="190"/>
      <c r="L1148" s="71"/>
      <c r="N1148" t="str">
        <f>IFERROR(IF(VLOOKUP(Tb_Activiteiten[[#This Row],[Openstelling]],Tb_Openstelling[],2,0)=1,1,""),"")</f>
        <v/>
      </c>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25">
      <c r="A1149" s="190"/>
      <c r="B1149" s="190"/>
      <c r="C1149" s="190"/>
      <c r="D1149" s="190"/>
      <c r="E1149" s="190"/>
      <c r="F1149" s="190"/>
      <c r="G1149" s="190"/>
      <c r="L1149" s="71"/>
      <c r="N1149" t="str">
        <f>IFERROR(IF(VLOOKUP(Tb_Activiteiten[[#This Row],[Openstelling]],Tb_Openstelling[],2,0)=1,1,""),"")</f>
        <v/>
      </c>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25">
      <c r="A1150" s="190"/>
      <c r="B1150" s="190"/>
      <c r="C1150" s="190"/>
      <c r="D1150" s="190"/>
      <c r="E1150" s="190"/>
      <c r="F1150" s="190"/>
      <c r="G1150" s="190"/>
      <c r="L1150" s="71"/>
      <c r="N1150" t="str">
        <f>IFERROR(IF(VLOOKUP(Tb_Activiteiten[[#This Row],[Openstelling]],Tb_Openstelling[],2,0)=1,1,""),"")</f>
        <v/>
      </c>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25">
      <c r="A1151" s="190"/>
      <c r="B1151" s="190"/>
      <c r="C1151" s="190"/>
      <c r="D1151" s="190"/>
      <c r="E1151" s="190"/>
      <c r="F1151" s="190"/>
      <c r="G1151" s="190"/>
      <c r="L1151" s="71"/>
      <c r="N1151" t="str">
        <f>IFERROR(IF(VLOOKUP(Tb_Activiteiten[[#This Row],[Openstelling]],Tb_Openstelling[],2,0)=1,1,""),"")</f>
        <v/>
      </c>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25">
      <c r="A1152" s="190"/>
      <c r="B1152" s="190"/>
      <c r="C1152" s="190"/>
      <c r="D1152" s="190"/>
      <c r="E1152" s="190"/>
      <c r="F1152" s="190"/>
      <c r="G1152" s="190"/>
      <c r="L1152" s="71"/>
      <c r="N1152" t="str">
        <f>IFERROR(IF(VLOOKUP(Tb_Activiteiten[[#This Row],[Openstelling]],Tb_Openstelling[],2,0)=1,1,""),"")</f>
        <v/>
      </c>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25">
      <c r="A1153" s="190"/>
      <c r="B1153" s="190"/>
      <c r="C1153" s="190"/>
      <c r="D1153" s="190"/>
      <c r="E1153" s="190"/>
      <c r="F1153" s="190"/>
      <c r="G1153" s="190"/>
      <c r="L1153" s="71"/>
      <c r="N1153" t="str">
        <f>IFERROR(IF(VLOOKUP(Tb_Activiteiten[[#This Row],[Openstelling]],Tb_Openstelling[],2,0)=1,1,""),"")</f>
        <v/>
      </c>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25">
      <c r="A1154" s="190"/>
      <c r="B1154" s="190"/>
      <c r="C1154" s="190"/>
      <c r="D1154" s="190"/>
      <c r="E1154" s="190"/>
      <c r="F1154" s="190"/>
      <c r="G1154" s="190"/>
      <c r="L1154" s="71"/>
      <c r="N1154" t="str">
        <f>IFERROR(IF(VLOOKUP(Tb_Activiteiten[[#This Row],[Openstelling]],Tb_Openstelling[],2,0)=1,1,""),"")</f>
        <v/>
      </c>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25">
      <c r="A1155" s="190"/>
      <c r="B1155" s="190"/>
      <c r="C1155" s="190"/>
      <c r="D1155" s="190"/>
      <c r="E1155" s="190"/>
      <c r="F1155" s="190"/>
      <c r="G1155" s="190"/>
      <c r="L1155" s="71"/>
      <c r="N1155" t="str">
        <f>IFERROR(IF(VLOOKUP(Tb_Activiteiten[[#This Row],[Openstelling]],Tb_Openstelling[],2,0)=1,1,""),"")</f>
        <v/>
      </c>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25">
      <c r="A1156" s="190"/>
      <c r="B1156" s="190"/>
      <c r="C1156" s="190"/>
      <c r="D1156" s="190"/>
      <c r="E1156" s="190"/>
      <c r="F1156" s="190"/>
      <c r="G1156" s="190"/>
      <c r="L1156" s="71"/>
      <c r="N1156" t="str">
        <f>IFERROR(IF(VLOOKUP(Tb_Activiteiten[[#This Row],[Openstelling]],Tb_Openstelling[],2,0)=1,1,""),"")</f>
        <v/>
      </c>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25">
      <c r="A1157" s="190"/>
      <c r="B1157" s="190"/>
      <c r="C1157" s="190"/>
      <c r="D1157" s="190"/>
      <c r="E1157" s="190"/>
      <c r="F1157" s="190"/>
      <c r="G1157" s="190"/>
      <c r="L1157" s="71"/>
      <c r="N1157" t="str">
        <f>IFERROR(IF(VLOOKUP(Tb_Activiteiten[[#This Row],[Openstelling]],Tb_Openstelling[],2,0)=1,1,""),"")</f>
        <v/>
      </c>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25">
      <c r="A1158" s="190"/>
      <c r="B1158" s="190"/>
      <c r="C1158" s="190"/>
      <c r="D1158" s="190"/>
      <c r="E1158" s="190"/>
      <c r="F1158" s="190"/>
      <c r="G1158" s="190"/>
      <c r="L1158" s="71"/>
      <c r="N1158" t="str">
        <f>IFERROR(IF(VLOOKUP(Tb_Activiteiten[[#This Row],[Openstelling]],Tb_Openstelling[],2,0)=1,1,""),"")</f>
        <v/>
      </c>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25">
      <c r="A1159" s="190"/>
      <c r="B1159" s="190"/>
      <c r="C1159" s="190"/>
      <c r="D1159" s="190"/>
      <c r="E1159" s="190"/>
      <c r="F1159" s="190"/>
      <c r="G1159" s="190"/>
      <c r="L1159" s="71"/>
      <c r="N1159" t="str">
        <f>IFERROR(IF(VLOOKUP(Tb_Activiteiten[[#This Row],[Openstelling]],Tb_Openstelling[],2,0)=1,1,""),"")</f>
        <v/>
      </c>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25">
      <c r="A1160" s="190"/>
      <c r="B1160" s="190"/>
      <c r="C1160" s="190"/>
      <c r="D1160" s="190"/>
      <c r="E1160" s="190"/>
      <c r="F1160" s="190"/>
      <c r="G1160" s="190"/>
      <c r="L1160" s="71"/>
      <c r="N1160" t="str">
        <f>IFERROR(IF(VLOOKUP(Tb_Activiteiten[[#This Row],[Openstelling]],Tb_Openstelling[],2,0)=1,1,""),"")</f>
        <v/>
      </c>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25">
      <c r="A1161" s="190"/>
      <c r="B1161" s="190"/>
      <c r="C1161" s="190"/>
      <c r="D1161" s="190"/>
      <c r="E1161" s="190"/>
      <c r="F1161" s="190"/>
      <c r="G1161" s="190"/>
      <c r="L1161" s="71"/>
      <c r="N1161" t="str">
        <f>IFERROR(IF(VLOOKUP(Tb_Activiteiten[[#This Row],[Openstelling]],Tb_Openstelling[],2,0)=1,1,""),"")</f>
        <v/>
      </c>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25">
      <c r="A1162" s="190"/>
      <c r="B1162" s="190"/>
      <c r="C1162" s="190"/>
      <c r="D1162" s="190"/>
      <c r="E1162" s="190"/>
      <c r="F1162" s="190"/>
      <c r="G1162" s="190"/>
      <c r="L1162" s="71"/>
      <c r="N1162" t="str">
        <f>IFERROR(IF(VLOOKUP(Tb_Activiteiten[[#This Row],[Openstelling]],Tb_Openstelling[],2,0)=1,1,""),"")</f>
        <v/>
      </c>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25">
      <c r="A1163" s="190"/>
      <c r="B1163" s="190"/>
      <c r="C1163" s="190"/>
      <c r="D1163" s="190"/>
      <c r="E1163" s="190"/>
      <c r="F1163" s="190"/>
      <c r="G1163" s="190"/>
      <c r="L1163" s="71"/>
      <c r="N1163" t="str">
        <f>IFERROR(IF(VLOOKUP(Tb_Activiteiten[[#This Row],[Openstelling]],Tb_Openstelling[],2,0)=1,1,""),"")</f>
        <v/>
      </c>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25">
      <c r="A1164" s="190"/>
      <c r="B1164" s="190"/>
      <c r="C1164" s="190"/>
      <c r="D1164" s="190"/>
      <c r="E1164" s="190"/>
      <c r="F1164" s="190"/>
      <c r="G1164" s="190"/>
      <c r="L1164" s="71"/>
      <c r="N1164" t="str">
        <f>IFERROR(IF(VLOOKUP(Tb_Activiteiten[[#This Row],[Openstelling]],Tb_Openstelling[],2,0)=1,1,""),"")</f>
        <v/>
      </c>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25">
      <c r="A1165" s="190"/>
      <c r="B1165" s="190"/>
      <c r="C1165" s="190"/>
      <c r="D1165" s="190"/>
      <c r="E1165" s="190"/>
      <c r="F1165" s="190"/>
      <c r="G1165" s="190"/>
      <c r="L1165" s="71"/>
      <c r="N1165" t="str">
        <f>IFERROR(IF(VLOOKUP(Tb_Activiteiten[[#This Row],[Openstelling]],Tb_Openstelling[],2,0)=1,1,""),"")</f>
        <v/>
      </c>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25">
      <c r="A1166" s="190"/>
      <c r="B1166" s="190"/>
      <c r="C1166" s="190"/>
      <c r="D1166" s="190"/>
      <c r="E1166" s="190"/>
      <c r="F1166" s="190"/>
      <c r="G1166" s="190"/>
      <c r="L1166" s="71"/>
      <c r="N1166" t="str">
        <f>IFERROR(IF(VLOOKUP(Tb_Activiteiten[[#This Row],[Openstelling]],Tb_Openstelling[],2,0)=1,1,""),"")</f>
        <v/>
      </c>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25">
      <c r="A1167" s="190"/>
      <c r="B1167" s="190"/>
      <c r="C1167" s="190"/>
      <c r="D1167" s="190"/>
      <c r="E1167" s="190"/>
      <c r="F1167" s="190"/>
      <c r="G1167" s="190"/>
      <c r="L1167" s="71"/>
      <c r="N1167" t="str">
        <f>IFERROR(IF(VLOOKUP(Tb_Activiteiten[[#This Row],[Openstelling]],Tb_Openstelling[],2,0)=1,1,""),"")</f>
        <v/>
      </c>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25">
      <c r="A1168" s="190"/>
      <c r="B1168" s="190"/>
      <c r="C1168" s="190"/>
      <c r="D1168" s="190"/>
      <c r="E1168" s="190"/>
      <c r="F1168" s="190"/>
      <c r="G1168" s="190"/>
      <c r="L1168" s="71"/>
      <c r="N1168" t="str">
        <f>IFERROR(IF(VLOOKUP(Tb_Activiteiten[[#This Row],[Openstelling]],Tb_Openstelling[],2,0)=1,1,""),"")</f>
        <v/>
      </c>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25">
      <c r="A1169" s="190"/>
      <c r="B1169" s="190"/>
      <c r="C1169" s="190"/>
      <c r="D1169" s="190"/>
      <c r="E1169" s="190"/>
      <c r="F1169" s="190"/>
      <c r="G1169" s="190"/>
      <c r="L1169" s="71"/>
      <c r="N1169" t="str">
        <f>IFERROR(IF(VLOOKUP(Tb_Activiteiten[[#This Row],[Openstelling]],Tb_Openstelling[],2,0)=1,1,""),"")</f>
        <v/>
      </c>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25">
      <c r="A1170" s="190"/>
      <c r="B1170" s="190"/>
      <c r="C1170" s="190"/>
      <c r="D1170" s="190"/>
      <c r="E1170" s="190"/>
      <c r="F1170" s="190"/>
      <c r="G1170" s="190"/>
      <c r="L1170" s="71"/>
      <c r="N1170" t="str">
        <f>IFERROR(IF(VLOOKUP(Tb_Activiteiten[[#This Row],[Openstelling]],Tb_Openstelling[],2,0)=1,1,""),"")</f>
        <v/>
      </c>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25">
      <c r="A1171" s="190"/>
      <c r="B1171" s="190"/>
      <c r="C1171" s="190"/>
      <c r="D1171" s="190"/>
      <c r="E1171" s="190"/>
      <c r="F1171" s="190"/>
      <c r="G1171" s="190"/>
      <c r="L1171" s="71"/>
      <c r="N1171" t="str">
        <f>IFERROR(IF(VLOOKUP(Tb_Activiteiten[[#This Row],[Openstelling]],Tb_Openstelling[],2,0)=1,1,""),"")</f>
        <v/>
      </c>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25">
      <c r="A1172" s="190"/>
      <c r="B1172" s="190"/>
      <c r="C1172" s="190"/>
      <c r="D1172" s="190"/>
      <c r="E1172" s="190"/>
      <c r="F1172" s="190"/>
      <c r="G1172" s="190"/>
      <c r="L1172" s="71"/>
      <c r="N1172" t="str">
        <f>IFERROR(IF(VLOOKUP(Tb_Activiteiten[[#This Row],[Openstelling]],Tb_Openstelling[],2,0)=1,1,""),"")</f>
        <v/>
      </c>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25">
      <c r="A1173" s="190"/>
      <c r="B1173" s="190"/>
      <c r="C1173" s="190"/>
      <c r="D1173" s="190"/>
      <c r="E1173" s="190"/>
      <c r="F1173" s="190"/>
      <c r="G1173" s="190"/>
      <c r="L1173" s="71"/>
      <c r="N1173" t="str">
        <f>IFERROR(IF(VLOOKUP(Tb_Activiteiten[[#This Row],[Openstelling]],Tb_Openstelling[],2,0)=1,1,""),"")</f>
        <v/>
      </c>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25">
      <c r="A1174" s="190"/>
      <c r="B1174" s="190"/>
      <c r="C1174" s="190"/>
      <c r="D1174" s="190"/>
      <c r="E1174" s="190"/>
      <c r="F1174" s="190"/>
      <c r="G1174" s="190"/>
      <c r="L1174" s="71"/>
      <c r="N1174" t="str">
        <f>IFERROR(IF(VLOOKUP(Tb_Activiteiten[[#This Row],[Openstelling]],Tb_Openstelling[],2,0)=1,1,""),"")</f>
        <v/>
      </c>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25">
      <c r="A1175" s="190"/>
      <c r="B1175" s="190"/>
      <c r="C1175" s="190"/>
      <c r="D1175" s="190"/>
      <c r="E1175" s="190"/>
      <c r="F1175" s="190"/>
      <c r="G1175" s="190"/>
      <c r="L1175" s="71"/>
      <c r="N1175" t="str">
        <f>IFERROR(IF(VLOOKUP(Tb_Activiteiten[[#This Row],[Openstelling]],Tb_Openstelling[],2,0)=1,1,""),"")</f>
        <v/>
      </c>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25">
      <c r="A1176" s="190"/>
      <c r="B1176" s="190"/>
      <c r="C1176" s="190"/>
      <c r="D1176" s="190"/>
      <c r="E1176" s="190"/>
      <c r="F1176" s="190"/>
      <c r="G1176" s="190"/>
      <c r="L1176" s="71"/>
      <c r="N1176" t="str">
        <f>IFERROR(IF(VLOOKUP(Tb_Activiteiten[[#This Row],[Openstelling]],Tb_Openstelling[],2,0)=1,1,""),"")</f>
        <v/>
      </c>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25">
      <c r="A1177" s="190"/>
      <c r="B1177" s="190"/>
      <c r="C1177" s="190"/>
      <c r="D1177" s="190"/>
      <c r="E1177" s="190"/>
      <c r="F1177" s="190"/>
      <c r="G1177" s="190"/>
      <c r="L1177" s="71"/>
      <c r="N1177" t="str">
        <f>IFERROR(IF(VLOOKUP(Tb_Activiteiten[[#This Row],[Openstelling]],Tb_Openstelling[],2,0)=1,1,""),"")</f>
        <v/>
      </c>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25">
      <c r="A1178" s="190"/>
      <c r="B1178" s="190"/>
      <c r="C1178" s="190"/>
      <c r="D1178" s="190"/>
      <c r="E1178" s="190"/>
      <c r="F1178" s="190"/>
      <c r="G1178" s="190"/>
      <c r="L1178" s="71"/>
      <c r="N1178" t="str">
        <f>IFERROR(IF(VLOOKUP(Tb_Activiteiten[[#This Row],[Openstelling]],Tb_Openstelling[],2,0)=1,1,""),"")</f>
        <v/>
      </c>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25">
      <c r="A1179" s="190"/>
      <c r="B1179" s="190"/>
      <c r="C1179" s="190"/>
      <c r="D1179" s="190"/>
      <c r="E1179" s="190"/>
      <c r="F1179" s="190"/>
      <c r="G1179" s="190"/>
      <c r="L1179" s="71"/>
      <c r="N1179" t="str">
        <f>IFERROR(IF(VLOOKUP(Tb_Activiteiten[[#This Row],[Openstelling]],Tb_Openstelling[],2,0)=1,1,""),"")</f>
        <v/>
      </c>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25">
      <c r="A1180" s="190"/>
      <c r="B1180" s="190"/>
      <c r="C1180" s="190"/>
      <c r="D1180" s="190"/>
      <c r="E1180" s="190"/>
      <c r="F1180" s="190"/>
      <c r="G1180" s="190"/>
      <c r="L1180" s="71"/>
      <c r="N1180" t="str">
        <f>IFERROR(IF(VLOOKUP(Tb_Activiteiten[[#This Row],[Openstelling]],Tb_Openstelling[],2,0)=1,1,""),"")</f>
        <v/>
      </c>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25">
      <c r="A1181" s="190"/>
      <c r="B1181" s="190"/>
      <c r="C1181" s="190"/>
      <c r="D1181" s="190"/>
      <c r="E1181" s="190"/>
      <c r="F1181" s="190"/>
      <c r="G1181" s="190"/>
      <c r="L1181" s="71"/>
      <c r="N1181" t="str">
        <f>IFERROR(IF(VLOOKUP(Tb_Activiteiten[[#This Row],[Openstelling]],Tb_Openstelling[],2,0)=1,1,""),"")</f>
        <v/>
      </c>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25">
      <c r="A1182" s="190"/>
      <c r="B1182" s="190"/>
      <c r="C1182" s="190"/>
      <c r="D1182" s="190"/>
      <c r="E1182" s="190"/>
      <c r="F1182" s="190"/>
      <c r="G1182" s="190"/>
      <c r="L1182" s="71"/>
      <c r="N1182" t="str">
        <f>IFERROR(IF(VLOOKUP(Tb_Activiteiten[[#This Row],[Openstelling]],Tb_Openstelling[],2,0)=1,1,""),"")</f>
        <v/>
      </c>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25">
      <c r="A1183" s="190"/>
      <c r="B1183" s="190"/>
      <c r="C1183" s="190"/>
      <c r="D1183" s="190"/>
      <c r="E1183" s="190"/>
      <c r="F1183" s="190"/>
      <c r="G1183" s="190"/>
      <c r="L1183" s="71"/>
      <c r="N1183" t="str">
        <f>IFERROR(IF(VLOOKUP(Tb_Activiteiten[[#This Row],[Openstelling]],Tb_Openstelling[],2,0)=1,1,""),"")</f>
        <v/>
      </c>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25">
      <c r="A1184" s="190"/>
      <c r="B1184" s="190"/>
      <c r="C1184" s="190"/>
      <c r="D1184" s="190"/>
      <c r="E1184" s="190"/>
      <c r="F1184" s="190"/>
      <c r="G1184" s="190"/>
      <c r="L1184" s="71"/>
      <c r="N1184" t="str">
        <f>IFERROR(IF(VLOOKUP(Tb_Activiteiten[[#This Row],[Openstelling]],Tb_Openstelling[],2,0)=1,1,""),"")</f>
        <v/>
      </c>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25">
      <c r="A1185" s="190"/>
      <c r="B1185" s="190"/>
      <c r="C1185" s="190"/>
      <c r="D1185" s="190"/>
      <c r="E1185" s="190"/>
      <c r="F1185" s="190"/>
      <c r="G1185" s="190"/>
      <c r="L1185" s="71"/>
      <c r="N1185" t="str">
        <f>IFERROR(IF(VLOOKUP(Tb_Activiteiten[[#This Row],[Openstelling]],Tb_Openstelling[],2,0)=1,1,""),"")</f>
        <v/>
      </c>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25">
      <c r="A1186" s="190"/>
      <c r="B1186" s="190"/>
      <c r="C1186" s="190"/>
      <c r="D1186" s="190"/>
      <c r="E1186" s="190"/>
      <c r="F1186" s="190"/>
      <c r="G1186" s="190"/>
      <c r="L1186" s="71"/>
      <c r="N1186" t="str">
        <f>IFERROR(IF(VLOOKUP(Tb_Activiteiten[[#This Row],[Openstelling]],Tb_Openstelling[],2,0)=1,1,""),"")</f>
        <v/>
      </c>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25">
      <c r="A1187" s="190"/>
      <c r="B1187" s="190"/>
      <c r="C1187" s="190"/>
      <c r="D1187" s="190"/>
      <c r="E1187" s="190"/>
      <c r="F1187" s="190"/>
      <c r="G1187" s="190"/>
      <c r="L1187" s="71"/>
      <c r="N1187" t="str">
        <f>IFERROR(IF(VLOOKUP(Tb_Activiteiten[[#This Row],[Openstelling]],Tb_Openstelling[],2,0)=1,1,""),"")</f>
        <v/>
      </c>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25">
      <c r="A1188" s="190"/>
      <c r="B1188" s="190"/>
      <c r="C1188" s="190"/>
      <c r="D1188" s="190"/>
      <c r="E1188" s="190"/>
      <c r="F1188" s="190"/>
      <c r="G1188" s="190"/>
      <c r="L1188" s="71"/>
      <c r="N1188" t="str">
        <f>IFERROR(IF(VLOOKUP(Tb_Activiteiten[[#This Row],[Openstelling]],Tb_Openstelling[],2,0)=1,1,""),"")</f>
        <v/>
      </c>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25">
      <c r="A1189" s="190"/>
      <c r="B1189" s="190"/>
      <c r="C1189" s="190"/>
      <c r="D1189" s="190"/>
      <c r="E1189" s="190"/>
      <c r="F1189" s="190"/>
      <c r="G1189" s="190"/>
      <c r="L1189" s="71"/>
      <c r="N1189" t="str">
        <f>IFERROR(IF(VLOOKUP(Tb_Activiteiten[[#This Row],[Openstelling]],Tb_Openstelling[],2,0)=1,1,""),"")</f>
        <v/>
      </c>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25">
      <c r="A1190" s="190"/>
      <c r="B1190" s="190"/>
      <c r="C1190" s="190"/>
      <c r="D1190" s="190"/>
      <c r="E1190" s="190"/>
      <c r="F1190" s="190"/>
      <c r="G1190" s="190"/>
      <c r="L1190" s="71"/>
      <c r="N1190" t="str">
        <f>IFERROR(IF(VLOOKUP(Tb_Activiteiten[[#This Row],[Openstelling]],Tb_Openstelling[],2,0)=1,1,""),"")</f>
        <v/>
      </c>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25">
      <c r="A1191" s="190"/>
      <c r="B1191" s="190"/>
      <c r="C1191" s="190"/>
      <c r="D1191" s="190"/>
      <c r="E1191" s="190"/>
      <c r="F1191" s="190"/>
      <c r="G1191" s="190"/>
      <c r="L1191" s="71"/>
      <c r="N1191" t="str">
        <f>IFERROR(IF(VLOOKUP(Tb_Activiteiten[[#This Row],[Openstelling]],Tb_Openstelling[],2,0)=1,1,""),"")</f>
        <v/>
      </c>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25">
      <c r="A1192" s="190"/>
      <c r="B1192" s="190"/>
      <c r="C1192" s="190"/>
      <c r="D1192" s="190"/>
      <c r="E1192" s="190"/>
      <c r="F1192" s="190"/>
      <c r="G1192" s="190"/>
      <c r="L1192" s="71"/>
      <c r="N1192" t="str">
        <f>IFERROR(IF(VLOOKUP(Tb_Activiteiten[[#This Row],[Openstelling]],Tb_Openstelling[],2,0)=1,1,""),"")</f>
        <v/>
      </c>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25">
      <c r="A1193" s="190"/>
      <c r="B1193" s="190"/>
      <c r="C1193" s="190"/>
      <c r="D1193" s="190"/>
      <c r="E1193" s="190"/>
      <c r="F1193" s="190"/>
      <c r="G1193" s="190"/>
      <c r="L1193" s="71"/>
      <c r="N1193" t="str">
        <f>IFERROR(IF(VLOOKUP(Tb_Activiteiten[[#This Row],[Openstelling]],Tb_Openstelling[],2,0)=1,1,""),"")</f>
        <v/>
      </c>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25">
      <c r="A1194" s="190"/>
      <c r="B1194" s="190"/>
      <c r="C1194" s="190"/>
      <c r="D1194" s="190"/>
      <c r="E1194" s="190"/>
      <c r="F1194" s="190"/>
      <c r="G1194" s="190"/>
      <c r="L1194" s="71"/>
      <c r="N1194" t="str">
        <f>IFERROR(IF(VLOOKUP(Tb_Activiteiten[[#This Row],[Openstelling]],Tb_Openstelling[],2,0)=1,1,""),"")</f>
        <v/>
      </c>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25">
      <c r="A1195" s="190"/>
      <c r="B1195" s="190"/>
      <c r="C1195" s="190"/>
      <c r="D1195" s="190"/>
      <c r="E1195" s="190"/>
      <c r="F1195" s="190"/>
      <c r="G1195" s="190"/>
      <c r="L1195" s="71"/>
      <c r="N1195" t="str">
        <f>IFERROR(IF(VLOOKUP(Tb_Activiteiten[[#This Row],[Openstelling]],Tb_Openstelling[],2,0)=1,1,""),"")</f>
        <v/>
      </c>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25">
      <c r="A1196" s="190"/>
      <c r="B1196" s="190"/>
      <c r="C1196" s="190"/>
      <c r="D1196" s="190"/>
      <c r="E1196" s="190"/>
      <c r="F1196" s="190"/>
      <c r="G1196" s="190"/>
      <c r="L1196" s="71"/>
      <c r="N1196" t="str">
        <f>IFERROR(IF(VLOOKUP(Tb_Activiteiten[[#This Row],[Openstelling]],Tb_Openstelling[],2,0)=1,1,""),"")</f>
        <v/>
      </c>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25">
      <c r="A1197" s="190"/>
      <c r="B1197" s="190"/>
      <c r="C1197" s="190"/>
      <c r="D1197" s="190"/>
      <c r="E1197" s="190"/>
      <c r="F1197" s="190"/>
      <c r="G1197" s="190"/>
      <c r="L1197" s="71"/>
      <c r="N1197" t="str">
        <f>IFERROR(IF(VLOOKUP(Tb_Activiteiten[[#This Row],[Openstelling]],Tb_Openstelling[],2,0)=1,1,""),"")</f>
        <v/>
      </c>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25">
      <c r="A1198" s="190"/>
      <c r="B1198" s="190"/>
      <c r="C1198" s="190"/>
      <c r="D1198" s="190"/>
      <c r="E1198" s="190"/>
      <c r="F1198" s="190"/>
      <c r="G1198" s="190"/>
      <c r="L1198" s="71"/>
      <c r="N1198" t="str">
        <f>IFERROR(IF(VLOOKUP(Tb_Activiteiten[[#This Row],[Openstelling]],Tb_Openstelling[],2,0)=1,1,""),"")</f>
        <v/>
      </c>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25">
      <c r="A1199" s="190"/>
      <c r="B1199" s="190"/>
      <c r="C1199" s="190"/>
      <c r="D1199" s="190"/>
      <c r="E1199" s="190"/>
      <c r="F1199" s="190"/>
      <c r="G1199" s="190"/>
      <c r="L1199" s="71"/>
      <c r="N1199" t="str">
        <f>IFERROR(IF(VLOOKUP(Tb_Activiteiten[[#This Row],[Openstelling]],Tb_Openstelling[],2,0)=1,1,""),"")</f>
        <v/>
      </c>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25">
      <c r="A1200" s="190"/>
      <c r="B1200" s="190"/>
      <c r="C1200" s="190"/>
      <c r="D1200" s="190"/>
      <c r="E1200" s="190"/>
      <c r="F1200" s="190"/>
      <c r="G1200" s="190"/>
      <c r="L1200" s="71"/>
      <c r="N1200" t="str">
        <f>IFERROR(IF(VLOOKUP(Tb_Activiteiten[[#This Row],[Openstelling]],Tb_Openstelling[],2,0)=1,1,""),"")</f>
        <v/>
      </c>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25">
      <c r="A1201" s="190"/>
      <c r="B1201" s="190"/>
      <c r="C1201" s="190"/>
      <c r="D1201" s="190"/>
      <c r="E1201" s="190"/>
      <c r="F1201" s="190"/>
      <c r="G1201" s="190"/>
      <c r="L1201" s="71"/>
      <c r="N1201" t="str">
        <f>IFERROR(IF(VLOOKUP(Tb_Activiteiten[[#This Row],[Openstelling]],Tb_Openstelling[],2,0)=1,1,""),"")</f>
        <v/>
      </c>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25">
      <c r="A1202" s="190"/>
      <c r="B1202" s="190"/>
      <c r="C1202" s="190"/>
      <c r="D1202" s="190"/>
      <c r="E1202" s="190"/>
      <c r="F1202" s="190"/>
      <c r="G1202" s="190"/>
      <c r="L1202" s="71"/>
      <c r="N1202" t="str">
        <f>IFERROR(IF(VLOOKUP(Tb_Activiteiten[[#This Row],[Openstelling]],Tb_Openstelling[],2,0)=1,1,""),"")</f>
        <v/>
      </c>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25">
      <c r="A1203" s="190"/>
      <c r="B1203" s="190"/>
      <c r="C1203" s="190"/>
      <c r="D1203" s="190"/>
      <c r="E1203" s="190"/>
      <c r="F1203" s="190"/>
      <c r="G1203" s="190"/>
      <c r="L1203" s="71"/>
      <c r="N1203" t="str">
        <f>IFERROR(IF(VLOOKUP(Tb_Activiteiten[[#This Row],[Openstelling]],Tb_Openstelling[],2,0)=1,1,""),"")</f>
        <v/>
      </c>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25">
      <c r="A1204" s="190"/>
      <c r="B1204" s="190"/>
      <c r="C1204" s="190"/>
      <c r="D1204" s="190"/>
      <c r="E1204" s="190"/>
      <c r="F1204" s="190"/>
      <c r="G1204" s="190"/>
      <c r="L1204" s="71"/>
      <c r="N1204" t="str">
        <f>IFERROR(IF(VLOOKUP(Tb_Activiteiten[[#This Row],[Openstelling]],Tb_Openstelling[],2,0)=1,1,""),"")</f>
        <v/>
      </c>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25">
      <c r="A1205" s="190"/>
      <c r="B1205" s="190"/>
      <c r="C1205" s="190"/>
      <c r="D1205" s="190"/>
      <c r="E1205" s="190"/>
      <c r="F1205" s="190"/>
      <c r="G1205" s="190"/>
      <c r="L1205" s="71"/>
      <c r="N1205" t="str">
        <f>IFERROR(IF(VLOOKUP(Tb_Activiteiten[[#This Row],[Openstelling]],Tb_Openstelling[],2,0)=1,1,""),"")</f>
        <v/>
      </c>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25">
      <c r="A1206" s="190"/>
      <c r="B1206" s="190"/>
      <c r="C1206" s="190"/>
      <c r="D1206" s="190"/>
      <c r="E1206" s="190"/>
      <c r="F1206" s="190"/>
      <c r="G1206" s="190"/>
      <c r="L1206" s="71"/>
      <c r="N1206" t="str">
        <f>IFERROR(IF(VLOOKUP(Tb_Activiteiten[[#This Row],[Openstelling]],Tb_Openstelling[],2,0)=1,1,""),"")</f>
        <v/>
      </c>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25">
      <c r="A1207" s="190"/>
      <c r="B1207" s="190"/>
      <c r="C1207" s="190"/>
      <c r="D1207" s="190"/>
      <c r="E1207" s="190"/>
      <c r="F1207" s="190"/>
      <c r="G1207" s="190"/>
      <c r="L1207" s="71"/>
      <c r="N1207" t="str">
        <f>IFERROR(IF(VLOOKUP(Tb_Activiteiten[[#This Row],[Openstelling]],Tb_Openstelling[],2,0)=1,1,""),"")</f>
        <v/>
      </c>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25">
      <c r="A1208" s="190"/>
      <c r="B1208" s="190"/>
      <c r="C1208" s="190"/>
      <c r="D1208" s="190"/>
      <c r="E1208" s="190"/>
      <c r="F1208" s="190"/>
      <c r="G1208" s="190"/>
      <c r="L1208" s="71"/>
      <c r="N1208" t="str">
        <f>IFERROR(IF(VLOOKUP(Tb_Activiteiten[[#This Row],[Openstelling]],Tb_Openstelling[],2,0)=1,1,""),"")</f>
        <v/>
      </c>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25">
      <c r="A1209" s="190"/>
      <c r="B1209" s="190"/>
      <c r="C1209" s="190"/>
      <c r="D1209" s="190"/>
      <c r="E1209" s="190"/>
      <c r="F1209" s="190"/>
      <c r="G1209" s="190"/>
      <c r="L1209" s="71"/>
      <c r="N1209" t="str">
        <f>IFERROR(IF(VLOOKUP(Tb_Activiteiten[[#This Row],[Openstelling]],Tb_Openstelling[],2,0)=1,1,""),"")</f>
        <v/>
      </c>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25">
      <c r="A1210" s="190"/>
      <c r="B1210" s="190"/>
      <c r="C1210" s="190"/>
      <c r="D1210" s="190"/>
      <c r="E1210" s="190"/>
      <c r="F1210" s="190"/>
      <c r="G1210" s="190"/>
      <c r="L1210" s="71"/>
      <c r="N1210" t="str">
        <f>IFERROR(IF(VLOOKUP(Tb_Activiteiten[[#This Row],[Openstelling]],Tb_Openstelling[],2,0)=1,1,""),"")</f>
        <v/>
      </c>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25">
      <c r="A1211" s="190"/>
      <c r="B1211" s="190"/>
      <c r="C1211" s="190"/>
      <c r="D1211" s="190"/>
      <c r="E1211" s="190"/>
      <c r="F1211" s="190"/>
      <c r="G1211" s="190"/>
      <c r="L1211" s="71"/>
      <c r="N1211" t="str">
        <f>IFERROR(IF(VLOOKUP(Tb_Activiteiten[[#This Row],[Openstelling]],Tb_Openstelling[],2,0)=1,1,""),"")</f>
        <v/>
      </c>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25">
      <c r="A1212" s="190"/>
      <c r="B1212" s="190"/>
      <c r="C1212" s="190"/>
      <c r="D1212" s="190"/>
      <c r="E1212" s="190"/>
      <c r="F1212" s="190"/>
      <c r="G1212" s="190"/>
      <c r="L1212" s="71"/>
      <c r="N1212" t="str">
        <f>IFERROR(IF(VLOOKUP(Tb_Activiteiten[[#This Row],[Openstelling]],Tb_Openstelling[],2,0)=1,1,""),"")</f>
        <v/>
      </c>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25">
      <c r="A1213" s="190"/>
      <c r="B1213" s="190"/>
      <c r="C1213" s="190"/>
      <c r="D1213" s="190"/>
      <c r="E1213" s="190"/>
      <c r="F1213" s="190"/>
      <c r="G1213" s="190"/>
      <c r="L1213" s="71"/>
      <c r="N1213" t="str">
        <f>IFERROR(IF(VLOOKUP(Tb_Activiteiten[[#This Row],[Openstelling]],Tb_Openstelling[],2,0)=1,1,""),"")</f>
        <v/>
      </c>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25">
      <c r="A1214" s="190"/>
      <c r="B1214" s="190"/>
      <c r="C1214" s="190"/>
      <c r="D1214" s="190"/>
      <c r="E1214" s="190"/>
      <c r="F1214" s="190"/>
      <c r="G1214" s="190"/>
      <c r="L1214" s="71"/>
      <c r="N1214" t="str">
        <f>IFERROR(IF(VLOOKUP(Tb_Activiteiten[[#This Row],[Openstelling]],Tb_Openstelling[],2,0)=1,1,""),"")</f>
        <v/>
      </c>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25">
      <c r="A1215" s="190"/>
      <c r="B1215" s="190"/>
      <c r="C1215" s="190"/>
      <c r="D1215" s="190"/>
      <c r="E1215" s="190"/>
      <c r="F1215" s="190"/>
      <c r="G1215" s="190"/>
      <c r="L1215" s="71"/>
      <c r="N1215" t="str">
        <f>IFERROR(IF(VLOOKUP(Tb_Activiteiten[[#This Row],[Openstelling]],Tb_Openstelling[],2,0)=1,1,""),"")</f>
        <v/>
      </c>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25">
      <c r="A1216" s="190"/>
      <c r="B1216" s="190"/>
      <c r="C1216" s="190"/>
      <c r="D1216" s="190"/>
      <c r="E1216" s="190"/>
      <c r="F1216" s="190"/>
      <c r="G1216" s="190"/>
      <c r="L1216" s="71"/>
      <c r="N1216" t="str">
        <f>IFERROR(IF(VLOOKUP(Tb_Activiteiten[[#This Row],[Openstelling]],Tb_Openstelling[],2,0)=1,1,""),"")</f>
        <v/>
      </c>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25">
      <c r="A1217" s="190"/>
      <c r="B1217" s="190"/>
      <c r="C1217" s="190"/>
      <c r="D1217" s="190"/>
      <c r="E1217" s="190"/>
      <c r="F1217" s="190"/>
      <c r="G1217" s="190"/>
      <c r="L1217" s="71"/>
      <c r="N1217" t="str">
        <f>IFERROR(IF(VLOOKUP(Tb_Activiteiten[[#This Row],[Openstelling]],Tb_Openstelling[],2,0)=1,1,""),"")</f>
        <v/>
      </c>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25">
      <c r="A1218" s="190"/>
      <c r="B1218" s="190"/>
      <c r="C1218" s="190"/>
      <c r="D1218" s="190"/>
      <c r="E1218" s="190"/>
      <c r="F1218" s="190"/>
      <c r="G1218" s="190"/>
      <c r="L1218" s="71"/>
      <c r="N1218" t="str">
        <f>IFERROR(IF(VLOOKUP(Tb_Activiteiten[[#This Row],[Openstelling]],Tb_Openstelling[],2,0)=1,1,""),"")</f>
        <v/>
      </c>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25">
      <c r="A1219" s="190"/>
      <c r="B1219" s="190"/>
      <c r="C1219" s="190"/>
      <c r="D1219" s="190"/>
      <c r="E1219" s="190"/>
      <c r="F1219" s="190"/>
      <c r="G1219" s="190"/>
      <c r="L1219" s="71"/>
      <c r="N1219" t="str">
        <f>IFERROR(IF(VLOOKUP(Tb_Activiteiten[[#This Row],[Openstelling]],Tb_Openstelling[],2,0)=1,1,""),"")</f>
        <v/>
      </c>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25">
      <c r="A1220" s="190"/>
      <c r="B1220" s="190"/>
      <c r="C1220" s="190"/>
      <c r="D1220" s="190"/>
      <c r="E1220" s="190"/>
      <c r="F1220" s="190"/>
      <c r="G1220" s="190"/>
      <c r="L1220" s="71"/>
      <c r="N1220" t="str">
        <f>IFERROR(IF(VLOOKUP(Tb_Activiteiten[[#This Row],[Openstelling]],Tb_Openstelling[],2,0)=1,1,""),"")</f>
        <v/>
      </c>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25">
      <c r="A1221" s="190"/>
      <c r="B1221" s="190"/>
      <c r="C1221" s="190"/>
      <c r="D1221" s="190"/>
      <c r="E1221" s="190"/>
      <c r="F1221" s="190"/>
      <c r="G1221" s="190"/>
      <c r="L1221" s="71"/>
      <c r="N1221" t="str">
        <f>IFERROR(IF(VLOOKUP(Tb_Activiteiten[[#This Row],[Openstelling]],Tb_Openstelling[],2,0)=1,1,""),"")</f>
        <v/>
      </c>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25">
      <c r="A1222" s="190"/>
      <c r="B1222" s="190"/>
      <c r="C1222" s="190"/>
      <c r="D1222" s="190"/>
      <c r="E1222" s="190"/>
      <c r="F1222" s="190"/>
      <c r="G1222" s="190"/>
      <c r="L1222" s="71"/>
      <c r="N1222" t="str">
        <f>IFERROR(IF(VLOOKUP(Tb_Activiteiten[[#This Row],[Openstelling]],Tb_Openstelling[],2,0)=1,1,""),"")</f>
        <v/>
      </c>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25">
      <c r="A1223" s="190"/>
      <c r="B1223" s="190"/>
      <c r="C1223" s="190"/>
      <c r="D1223" s="190"/>
      <c r="E1223" s="190"/>
      <c r="F1223" s="190"/>
      <c r="G1223" s="190"/>
      <c r="L1223" s="71"/>
      <c r="N1223" t="str">
        <f>IFERROR(IF(VLOOKUP(Tb_Activiteiten[[#This Row],[Openstelling]],Tb_Openstelling[],2,0)=1,1,""),"")</f>
        <v/>
      </c>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25">
      <c r="A1224" s="190"/>
      <c r="B1224" s="190"/>
      <c r="C1224" s="190"/>
      <c r="D1224" s="190"/>
      <c r="E1224" s="190"/>
      <c r="F1224" s="190"/>
      <c r="G1224" s="190"/>
      <c r="L1224" s="71"/>
      <c r="N1224" t="str">
        <f>IFERROR(IF(VLOOKUP(Tb_Activiteiten[[#This Row],[Openstelling]],Tb_Openstelling[],2,0)=1,1,""),"")</f>
        <v/>
      </c>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25">
      <c r="A1225" s="190"/>
      <c r="B1225" s="190"/>
      <c r="C1225" s="190"/>
      <c r="D1225" s="190"/>
      <c r="E1225" s="190"/>
      <c r="F1225" s="190"/>
      <c r="G1225" s="190"/>
      <c r="L1225" s="71"/>
      <c r="N1225" t="str">
        <f>IFERROR(IF(VLOOKUP(Tb_Activiteiten[[#This Row],[Openstelling]],Tb_Openstelling[],2,0)=1,1,""),"")</f>
        <v/>
      </c>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25">
      <c r="A1226" s="190"/>
      <c r="B1226" s="190"/>
      <c r="C1226" s="190"/>
      <c r="D1226" s="190"/>
      <c r="E1226" s="190"/>
      <c r="F1226" s="190"/>
      <c r="G1226" s="190"/>
      <c r="L1226" s="71"/>
      <c r="N1226" t="str">
        <f>IFERROR(IF(VLOOKUP(Tb_Activiteiten[[#This Row],[Openstelling]],Tb_Openstelling[],2,0)=1,1,""),"")</f>
        <v/>
      </c>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25">
      <c r="A1227" s="190"/>
      <c r="B1227" s="190"/>
      <c r="C1227" s="190"/>
      <c r="D1227" s="190"/>
      <c r="E1227" s="190"/>
      <c r="F1227" s="190"/>
      <c r="G1227" s="190"/>
      <c r="L1227" s="71"/>
      <c r="N1227" t="str">
        <f>IFERROR(IF(VLOOKUP(Tb_Activiteiten[[#This Row],[Openstelling]],Tb_Openstelling[],2,0)=1,1,""),"")</f>
        <v/>
      </c>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25">
      <c r="A1228" s="190"/>
      <c r="B1228" s="190"/>
      <c r="C1228" s="190"/>
      <c r="D1228" s="190"/>
      <c r="E1228" s="190"/>
      <c r="F1228" s="190"/>
      <c r="G1228" s="190"/>
      <c r="L1228" s="71"/>
      <c r="N1228" t="str">
        <f>IFERROR(IF(VLOOKUP(Tb_Activiteiten[[#This Row],[Openstelling]],Tb_Openstelling[],2,0)=1,1,""),"")</f>
        <v/>
      </c>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25">
      <c r="A1229" s="190"/>
      <c r="B1229" s="190"/>
      <c r="C1229" s="190"/>
      <c r="D1229" s="190"/>
      <c r="E1229" s="190"/>
      <c r="F1229" s="190"/>
      <c r="G1229" s="190"/>
      <c r="L1229" s="71"/>
      <c r="N1229" t="str">
        <f>IFERROR(IF(VLOOKUP(Tb_Activiteiten[[#This Row],[Openstelling]],Tb_Openstelling[],2,0)=1,1,""),"")</f>
        <v/>
      </c>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25">
      <c r="A1230" s="190"/>
      <c r="B1230" s="190"/>
      <c r="C1230" s="190"/>
      <c r="D1230" s="190"/>
      <c r="E1230" s="190"/>
      <c r="F1230" s="190"/>
      <c r="G1230" s="190"/>
      <c r="L1230" s="71"/>
      <c r="N1230" t="str">
        <f>IFERROR(IF(VLOOKUP(Tb_Activiteiten[[#This Row],[Openstelling]],Tb_Openstelling[],2,0)=1,1,""),"")</f>
        <v/>
      </c>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25">
      <c r="A1231" s="190"/>
      <c r="B1231" s="190"/>
      <c r="C1231" s="190"/>
      <c r="D1231" s="190"/>
      <c r="E1231" s="190"/>
      <c r="F1231" s="190"/>
      <c r="G1231" s="190"/>
      <c r="L1231" s="71"/>
      <c r="N1231" t="str">
        <f>IFERROR(IF(VLOOKUP(Tb_Activiteiten[[#This Row],[Openstelling]],Tb_Openstelling[],2,0)=1,1,""),"")</f>
        <v/>
      </c>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25">
      <c r="A1232" s="190"/>
      <c r="B1232" s="190"/>
      <c r="C1232" s="190"/>
      <c r="D1232" s="190"/>
      <c r="E1232" s="190"/>
      <c r="F1232" s="190"/>
      <c r="G1232" s="190"/>
      <c r="L1232" s="71"/>
      <c r="N1232" t="str">
        <f>IFERROR(IF(VLOOKUP(Tb_Activiteiten[[#This Row],[Openstelling]],Tb_Openstelling[],2,0)=1,1,""),"")</f>
        <v/>
      </c>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25">
      <c r="A1233" s="190"/>
      <c r="B1233" s="190"/>
      <c r="C1233" s="190"/>
      <c r="D1233" s="190"/>
      <c r="E1233" s="190"/>
      <c r="F1233" s="190"/>
      <c r="G1233" s="190"/>
      <c r="L1233" s="71"/>
      <c r="N1233" t="str">
        <f>IFERROR(IF(VLOOKUP(Tb_Activiteiten[[#This Row],[Openstelling]],Tb_Openstelling[],2,0)=1,1,""),"")</f>
        <v/>
      </c>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25">
      <c r="A1234" s="190"/>
      <c r="B1234" s="190"/>
      <c r="C1234" s="190"/>
      <c r="D1234" s="190"/>
      <c r="E1234" s="190"/>
      <c r="F1234" s="190"/>
      <c r="G1234" s="190"/>
      <c r="L1234" s="71"/>
      <c r="N1234" t="str">
        <f>IFERROR(IF(VLOOKUP(Tb_Activiteiten[[#This Row],[Openstelling]],Tb_Openstelling[],2,0)=1,1,""),"")</f>
        <v/>
      </c>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25">
      <c r="A1235" s="190"/>
      <c r="B1235" s="190"/>
      <c r="C1235" s="190"/>
      <c r="D1235" s="190"/>
      <c r="E1235" s="190"/>
      <c r="F1235" s="190"/>
      <c r="G1235" s="190"/>
      <c r="L1235" s="71"/>
      <c r="N1235" t="str">
        <f>IFERROR(IF(VLOOKUP(Tb_Activiteiten[[#This Row],[Openstelling]],Tb_Openstelling[],2,0)=1,1,""),"")</f>
        <v/>
      </c>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25">
      <c r="A1236" s="190"/>
      <c r="B1236" s="190"/>
      <c r="C1236" s="190"/>
      <c r="D1236" s="190"/>
      <c r="E1236" s="190"/>
      <c r="F1236" s="190"/>
      <c r="G1236" s="190"/>
      <c r="L1236" s="71"/>
      <c r="N1236" t="str">
        <f>IFERROR(IF(VLOOKUP(Tb_Activiteiten[[#This Row],[Openstelling]],Tb_Openstelling[],2,0)=1,1,""),"")</f>
        <v/>
      </c>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25">
      <c r="A1237" s="190"/>
      <c r="B1237" s="190"/>
      <c r="C1237" s="190"/>
      <c r="D1237" s="190"/>
      <c r="E1237" s="190"/>
      <c r="F1237" s="190"/>
      <c r="G1237" s="190"/>
      <c r="L1237" s="71"/>
      <c r="N1237" t="str">
        <f>IFERROR(IF(VLOOKUP(Tb_Activiteiten[[#This Row],[Openstelling]],Tb_Openstelling[],2,0)=1,1,""),"")</f>
        <v/>
      </c>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25">
      <c r="A1238" s="190"/>
      <c r="B1238" s="190"/>
      <c r="C1238" s="190"/>
      <c r="D1238" s="190"/>
      <c r="E1238" s="190"/>
      <c r="F1238" s="190"/>
      <c r="G1238" s="190"/>
      <c r="L1238" s="71"/>
      <c r="N1238" t="str">
        <f>IFERROR(IF(VLOOKUP(Tb_Activiteiten[[#This Row],[Openstelling]],Tb_Openstelling[],2,0)=1,1,""),"")</f>
        <v/>
      </c>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25">
      <c r="A1239" s="190"/>
      <c r="B1239" s="190"/>
      <c r="C1239" s="190"/>
      <c r="D1239" s="190"/>
      <c r="E1239" s="190"/>
      <c r="F1239" s="190"/>
      <c r="G1239" s="190"/>
      <c r="L1239" s="71"/>
      <c r="N1239" t="str">
        <f>IFERROR(IF(VLOOKUP(Tb_Activiteiten[[#This Row],[Openstelling]],Tb_Openstelling[],2,0)=1,1,""),"")</f>
        <v/>
      </c>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25">
      <c r="A1240" s="190"/>
      <c r="B1240" s="190"/>
      <c r="C1240" s="190"/>
      <c r="D1240" s="190"/>
      <c r="E1240" s="190"/>
      <c r="F1240" s="190"/>
      <c r="G1240" s="190"/>
      <c r="L1240" s="71"/>
      <c r="N1240" t="str">
        <f>IFERROR(IF(VLOOKUP(Tb_Activiteiten[[#This Row],[Openstelling]],Tb_Openstelling[],2,0)=1,1,""),"")</f>
        <v/>
      </c>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25">
      <c r="A1241" s="190"/>
      <c r="B1241" s="190"/>
      <c r="C1241" s="190"/>
      <c r="D1241" s="190"/>
      <c r="E1241" s="190"/>
      <c r="F1241" s="190"/>
      <c r="G1241" s="190"/>
      <c r="L1241" s="71"/>
      <c r="N1241" t="str">
        <f>IFERROR(IF(VLOOKUP(Tb_Activiteiten[[#This Row],[Openstelling]],Tb_Openstelling[],2,0)=1,1,""),"")</f>
        <v/>
      </c>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25">
      <c r="A1242" s="190"/>
      <c r="B1242" s="190"/>
      <c r="C1242" s="190"/>
      <c r="D1242" s="190"/>
      <c r="E1242" s="190"/>
      <c r="F1242" s="190"/>
      <c r="G1242" s="190"/>
      <c r="L1242" s="71"/>
      <c r="N1242" t="str">
        <f>IFERROR(IF(VLOOKUP(Tb_Activiteiten[[#This Row],[Openstelling]],Tb_Openstelling[],2,0)=1,1,""),"")</f>
        <v/>
      </c>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25">
      <c r="A1243" s="190"/>
      <c r="B1243" s="190"/>
      <c r="C1243" s="190"/>
      <c r="D1243" s="190"/>
      <c r="E1243" s="190"/>
      <c r="F1243" s="190"/>
      <c r="G1243" s="190"/>
      <c r="L1243" s="71"/>
      <c r="N1243" t="str">
        <f>IFERROR(IF(VLOOKUP(Tb_Activiteiten[[#This Row],[Openstelling]],Tb_Openstelling[],2,0)=1,1,""),"")</f>
        <v/>
      </c>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25">
      <c r="A1244" s="190"/>
      <c r="B1244" s="190"/>
      <c r="C1244" s="190"/>
      <c r="D1244" s="190"/>
      <c r="E1244" s="190"/>
      <c r="F1244" s="190"/>
      <c r="G1244" s="190"/>
      <c r="L1244" s="71"/>
      <c r="N1244" t="str">
        <f>IFERROR(IF(VLOOKUP(Tb_Activiteiten[[#This Row],[Openstelling]],Tb_Openstelling[],2,0)=1,1,""),"")</f>
        <v/>
      </c>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25">
      <c r="A1245" s="190"/>
      <c r="B1245" s="190"/>
      <c r="C1245" s="190"/>
      <c r="D1245" s="190"/>
      <c r="E1245" s="190"/>
      <c r="F1245" s="190"/>
      <c r="G1245" s="190"/>
      <c r="L1245" s="71"/>
      <c r="N1245" t="str">
        <f>IFERROR(IF(VLOOKUP(Tb_Activiteiten[[#This Row],[Openstelling]],Tb_Openstelling[],2,0)=1,1,""),"")</f>
        <v/>
      </c>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25">
      <c r="A1246" s="190"/>
      <c r="B1246" s="190"/>
      <c r="C1246" s="190"/>
      <c r="D1246" s="190"/>
      <c r="E1246" s="190"/>
      <c r="F1246" s="190"/>
      <c r="G1246" s="190"/>
      <c r="L1246" s="71"/>
      <c r="N1246" t="str">
        <f>IFERROR(IF(VLOOKUP(Tb_Activiteiten[[#This Row],[Openstelling]],Tb_Openstelling[],2,0)=1,1,""),"")</f>
        <v/>
      </c>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25">
      <c r="A1247" s="190"/>
      <c r="B1247" s="190"/>
      <c r="C1247" s="190"/>
      <c r="D1247" s="190"/>
      <c r="E1247" s="190"/>
      <c r="F1247" s="190"/>
      <c r="G1247" s="190"/>
      <c r="L1247" s="71"/>
      <c r="N1247" t="str">
        <f>IFERROR(IF(VLOOKUP(Tb_Activiteiten[[#This Row],[Openstelling]],Tb_Openstelling[],2,0)=1,1,""),"")</f>
        <v/>
      </c>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25">
      <c r="A1248" s="190"/>
      <c r="B1248" s="190"/>
      <c r="C1248" s="190"/>
      <c r="D1248" s="190"/>
      <c r="E1248" s="190"/>
      <c r="F1248" s="190"/>
      <c r="G1248" s="190"/>
      <c r="L1248" s="71"/>
      <c r="N1248" t="str">
        <f>IFERROR(IF(VLOOKUP(Tb_Activiteiten[[#This Row],[Openstelling]],Tb_Openstelling[],2,0)=1,1,""),"")</f>
        <v/>
      </c>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25">
      <c r="A1249" s="190"/>
      <c r="B1249" s="190"/>
      <c r="C1249" s="190"/>
      <c r="D1249" s="190"/>
      <c r="E1249" s="190"/>
      <c r="F1249" s="190"/>
      <c r="G1249" s="190"/>
      <c r="L1249" s="71"/>
      <c r="N1249" t="str">
        <f>IFERROR(IF(VLOOKUP(Tb_Activiteiten[[#This Row],[Openstelling]],Tb_Openstelling[],2,0)=1,1,""),"")</f>
        <v/>
      </c>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25">
      <c r="A1250" s="190"/>
      <c r="B1250" s="190"/>
      <c r="C1250" s="190"/>
      <c r="D1250" s="190"/>
      <c r="E1250" s="190"/>
      <c r="F1250" s="190"/>
      <c r="G1250" s="190"/>
      <c r="L1250" s="71"/>
      <c r="N1250" t="str">
        <f>IFERROR(IF(VLOOKUP(Tb_Activiteiten[[#This Row],[Openstelling]],Tb_Openstelling[],2,0)=1,1,""),"")</f>
        <v/>
      </c>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25">
      <c r="A1251" s="190"/>
      <c r="B1251" s="190"/>
      <c r="C1251" s="190"/>
      <c r="D1251" s="190"/>
      <c r="E1251" s="190"/>
      <c r="F1251" s="190"/>
      <c r="G1251" s="190"/>
      <c r="L1251" s="71"/>
      <c r="N1251" t="str">
        <f>IFERROR(IF(VLOOKUP(Tb_Activiteiten[[#This Row],[Openstelling]],Tb_Openstelling[],2,0)=1,1,""),"")</f>
        <v/>
      </c>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25">
      <c r="A1252" s="190"/>
      <c r="B1252" s="190"/>
      <c r="C1252" s="190"/>
      <c r="D1252" s="190"/>
      <c r="E1252" s="190"/>
      <c r="F1252" s="190"/>
      <c r="G1252" s="190"/>
      <c r="L1252" s="71"/>
      <c r="N1252" t="str">
        <f>IFERROR(IF(VLOOKUP(Tb_Activiteiten[[#This Row],[Openstelling]],Tb_Openstelling[],2,0)=1,1,""),"")</f>
        <v/>
      </c>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25">
      <c r="A1253" s="190"/>
      <c r="B1253" s="190"/>
      <c r="C1253" s="190"/>
      <c r="D1253" s="190"/>
      <c r="E1253" s="190"/>
      <c r="F1253" s="190"/>
      <c r="G1253" s="190"/>
      <c r="L1253" s="71"/>
      <c r="N1253" t="str">
        <f>IFERROR(IF(VLOOKUP(Tb_Activiteiten[[#This Row],[Openstelling]],Tb_Openstelling[],2,0)=1,1,""),"")</f>
        <v/>
      </c>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25">
      <c r="A1254" s="190"/>
      <c r="B1254" s="190"/>
      <c r="C1254" s="190"/>
      <c r="D1254" s="190"/>
      <c r="E1254" s="190"/>
      <c r="F1254" s="190"/>
      <c r="G1254" s="190"/>
      <c r="L1254" s="71"/>
      <c r="N1254" t="str">
        <f>IFERROR(IF(VLOOKUP(Tb_Activiteiten[[#This Row],[Openstelling]],Tb_Openstelling[],2,0)=1,1,""),"")</f>
        <v/>
      </c>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25">
      <c r="A1255" s="190"/>
      <c r="B1255" s="190"/>
      <c r="C1255" s="190"/>
      <c r="D1255" s="190"/>
      <c r="E1255" s="190"/>
      <c r="F1255" s="190"/>
      <c r="G1255" s="190"/>
      <c r="L1255" s="71"/>
      <c r="N1255" t="str">
        <f>IFERROR(IF(VLOOKUP(Tb_Activiteiten[[#This Row],[Openstelling]],Tb_Openstelling[],2,0)=1,1,""),"")</f>
        <v/>
      </c>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25">
      <c r="A1256" s="190"/>
      <c r="B1256" s="190"/>
      <c r="C1256" s="190"/>
      <c r="D1256" s="190"/>
      <c r="E1256" s="190"/>
      <c r="F1256" s="190"/>
      <c r="G1256" s="190"/>
      <c r="L1256" s="71"/>
      <c r="N1256" t="str">
        <f>IFERROR(IF(VLOOKUP(Tb_Activiteiten[[#This Row],[Openstelling]],Tb_Openstelling[],2,0)=1,1,""),"")</f>
        <v/>
      </c>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25">
      <c r="A1257" s="190"/>
      <c r="B1257" s="190"/>
      <c r="C1257" s="190"/>
      <c r="D1257" s="190"/>
      <c r="E1257" s="190"/>
      <c r="F1257" s="190"/>
      <c r="G1257" s="190"/>
      <c r="L1257" s="71"/>
      <c r="N1257" t="str">
        <f>IFERROR(IF(VLOOKUP(Tb_Activiteiten[[#This Row],[Openstelling]],Tb_Openstelling[],2,0)=1,1,""),"")</f>
        <v/>
      </c>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25">
      <c r="A1258" s="190"/>
      <c r="B1258" s="190"/>
      <c r="C1258" s="190"/>
      <c r="D1258" s="190"/>
      <c r="E1258" s="190"/>
      <c r="F1258" s="190"/>
      <c r="G1258" s="190"/>
      <c r="L1258" s="71"/>
      <c r="N1258" t="str">
        <f>IFERROR(IF(VLOOKUP(Tb_Activiteiten[[#This Row],[Openstelling]],Tb_Openstelling[],2,0)=1,1,""),"")</f>
        <v/>
      </c>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25">
      <c r="A1259" s="190"/>
      <c r="B1259" s="190"/>
      <c r="C1259" s="190"/>
      <c r="D1259" s="190"/>
      <c r="E1259" s="190"/>
      <c r="F1259" s="190"/>
      <c r="G1259" s="190"/>
      <c r="L1259" s="71"/>
      <c r="N1259" t="str">
        <f>IFERROR(IF(VLOOKUP(Tb_Activiteiten[[#This Row],[Openstelling]],Tb_Openstelling[],2,0)=1,1,""),"")</f>
        <v/>
      </c>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25">
      <c r="A1260" s="190"/>
      <c r="B1260" s="190"/>
      <c r="C1260" s="190"/>
      <c r="D1260" s="190"/>
      <c r="E1260" s="190"/>
      <c r="F1260" s="190"/>
      <c r="G1260" s="190"/>
      <c r="L1260" s="71"/>
      <c r="N1260" t="str">
        <f>IFERROR(IF(VLOOKUP(Tb_Activiteiten[[#This Row],[Openstelling]],Tb_Openstelling[],2,0)=1,1,""),"")</f>
        <v/>
      </c>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25">
      <c r="A1261" s="190"/>
      <c r="B1261" s="190"/>
      <c r="C1261" s="190"/>
      <c r="D1261" s="190"/>
      <c r="E1261" s="190"/>
      <c r="F1261" s="190"/>
      <c r="G1261" s="190"/>
      <c r="L1261" s="71"/>
      <c r="N1261" t="str">
        <f>IFERROR(IF(VLOOKUP(Tb_Activiteiten[[#This Row],[Openstelling]],Tb_Openstelling[],2,0)=1,1,""),"")</f>
        <v/>
      </c>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25">
      <c r="A1262" s="190"/>
      <c r="B1262" s="190"/>
      <c r="C1262" s="190"/>
      <c r="D1262" s="190"/>
      <c r="E1262" s="190"/>
      <c r="F1262" s="190"/>
      <c r="G1262" s="190"/>
      <c r="L1262" s="71"/>
      <c r="N1262" t="str">
        <f>IFERROR(IF(VLOOKUP(Tb_Activiteiten[[#This Row],[Openstelling]],Tb_Openstelling[],2,0)=1,1,""),"")</f>
        <v/>
      </c>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25">
      <c r="A1263" s="190"/>
      <c r="B1263" s="190"/>
      <c r="C1263" s="190"/>
      <c r="D1263" s="190"/>
      <c r="E1263" s="190"/>
      <c r="F1263" s="190"/>
      <c r="G1263" s="190"/>
      <c r="L1263" s="71"/>
      <c r="N1263" t="str">
        <f>IFERROR(IF(VLOOKUP(Tb_Activiteiten[[#This Row],[Openstelling]],Tb_Openstelling[],2,0)=1,1,""),"")</f>
        <v/>
      </c>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25">
      <c r="A1264" s="190"/>
      <c r="B1264" s="190"/>
      <c r="C1264" s="190"/>
      <c r="D1264" s="190"/>
      <c r="E1264" s="190"/>
      <c r="F1264" s="190"/>
      <c r="G1264" s="190"/>
      <c r="L1264" s="71"/>
      <c r="N1264" t="str">
        <f>IFERROR(IF(VLOOKUP(Tb_Activiteiten[[#This Row],[Openstelling]],Tb_Openstelling[],2,0)=1,1,""),"")</f>
        <v/>
      </c>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25">
      <c r="A1265" s="190"/>
      <c r="B1265" s="190"/>
      <c r="C1265" s="190"/>
      <c r="D1265" s="190"/>
      <c r="E1265" s="190"/>
      <c r="F1265" s="190"/>
      <c r="G1265" s="190"/>
      <c r="L1265" s="71"/>
      <c r="N1265" t="str">
        <f>IFERROR(IF(VLOOKUP(Tb_Activiteiten[[#This Row],[Openstelling]],Tb_Openstelling[],2,0)=1,1,""),"")</f>
        <v/>
      </c>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25">
      <c r="A1266" s="190"/>
      <c r="B1266" s="190"/>
      <c r="C1266" s="190"/>
      <c r="D1266" s="190"/>
      <c r="E1266" s="190"/>
      <c r="F1266" s="190"/>
      <c r="G1266" s="190"/>
      <c r="L1266" s="71"/>
      <c r="N1266" t="str">
        <f>IFERROR(IF(VLOOKUP(Tb_Activiteiten[[#This Row],[Openstelling]],Tb_Openstelling[],2,0)=1,1,""),"")</f>
        <v/>
      </c>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25">
      <c r="A1267" s="190"/>
      <c r="B1267" s="190"/>
      <c r="C1267" s="190"/>
      <c r="D1267" s="190"/>
      <c r="E1267" s="190"/>
      <c r="F1267" s="190"/>
      <c r="G1267" s="190"/>
      <c r="L1267" s="71"/>
      <c r="N1267" t="str">
        <f>IFERROR(IF(VLOOKUP(Tb_Activiteiten[[#This Row],[Openstelling]],Tb_Openstelling[],2,0)=1,1,""),"")</f>
        <v/>
      </c>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25">
      <c r="A1268" s="190"/>
      <c r="B1268" s="190"/>
      <c r="C1268" s="190"/>
      <c r="D1268" s="190"/>
      <c r="E1268" s="190"/>
      <c r="F1268" s="190"/>
      <c r="G1268" s="190"/>
      <c r="L1268" s="71"/>
      <c r="N1268" t="str">
        <f>IFERROR(IF(VLOOKUP(Tb_Activiteiten[[#This Row],[Openstelling]],Tb_Openstelling[],2,0)=1,1,""),"")</f>
        <v/>
      </c>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25">
      <c r="A1269" s="190"/>
      <c r="B1269" s="190"/>
      <c r="C1269" s="190"/>
      <c r="D1269" s="190"/>
      <c r="E1269" s="190"/>
      <c r="F1269" s="190"/>
      <c r="G1269" s="190"/>
      <c r="L1269" s="71"/>
      <c r="N1269" t="str">
        <f>IFERROR(IF(VLOOKUP(Tb_Activiteiten[[#This Row],[Openstelling]],Tb_Openstelling[],2,0)=1,1,""),"")</f>
        <v/>
      </c>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25">
      <c r="A1270" s="190"/>
      <c r="B1270" s="190"/>
      <c r="C1270" s="190"/>
      <c r="D1270" s="190"/>
      <c r="E1270" s="190"/>
      <c r="F1270" s="190"/>
      <c r="G1270" s="190"/>
      <c r="L1270" s="71"/>
      <c r="N1270" t="str">
        <f>IFERROR(IF(VLOOKUP(Tb_Activiteiten[[#This Row],[Openstelling]],Tb_Openstelling[],2,0)=1,1,""),"")</f>
        <v/>
      </c>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25">
      <c r="A1271" s="190"/>
      <c r="B1271" s="190"/>
      <c r="C1271" s="190"/>
      <c r="D1271" s="190"/>
      <c r="E1271" s="190"/>
      <c r="F1271" s="190"/>
      <c r="G1271" s="190"/>
      <c r="L1271" s="71"/>
      <c r="N1271" t="str">
        <f>IFERROR(IF(VLOOKUP(Tb_Activiteiten[[#This Row],[Openstelling]],Tb_Openstelling[],2,0)=1,1,""),"")</f>
        <v/>
      </c>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25">
      <c r="A1272" s="190"/>
      <c r="B1272" s="190"/>
      <c r="C1272" s="190"/>
      <c r="D1272" s="190"/>
      <c r="E1272" s="190"/>
      <c r="F1272" s="190"/>
      <c r="G1272" s="190"/>
      <c r="L1272" s="71"/>
      <c r="N1272" t="str">
        <f>IFERROR(IF(VLOOKUP(Tb_Activiteiten[[#This Row],[Openstelling]],Tb_Openstelling[],2,0)=1,1,""),"")</f>
        <v/>
      </c>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25">
      <c r="A1273" s="190"/>
      <c r="B1273" s="190"/>
      <c r="C1273" s="190"/>
      <c r="D1273" s="190"/>
      <c r="E1273" s="190"/>
      <c r="F1273" s="190"/>
      <c r="G1273" s="190"/>
      <c r="L1273" s="71"/>
      <c r="N1273" t="str">
        <f>IFERROR(IF(VLOOKUP(Tb_Activiteiten[[#This Row],[Openstelling]],Tb_Openstelling[],2,0)=1,1,""),"")</f>
        <v/>
      </c>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25">
      <c r="A1274" s="190"/>
      <c r="B1274" s="190"/>
      <c r="C1274" s="190"/>
      <c r="D1274" s="190"/>
      <c r="E1274" s="190"/>
      <c r="F1274" s="190"/>
      <c r="G1274" s="190"/>
      <c r="L1274" s="71"/>
      <c r="N1274" t="str">
        <f>IFERROR(IF(VLOOKUP(Tb_Activiteiten[[#This Row],[Openstelling]],Tb_Openstelling[],2,0)=1,1,""),"")</f>
        <v/>
      </c>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25">
      <c r="A1275" s="190"/>
      <c r="B1275" s="190"/>
      <c r="C1275" s="190"/>
      <c r="D1275" s="190"/>
      <c r="E1275" s="190"/>
      <c r="F1275" s="190"/>
      <c r="G1275" s="190"/>
      <c r="L1275" s="71"/>
      <c r="N1275" t="str">
        <f>IFERROR(IF(VLOOKUP(Tb_Activiteiten[[#This Row],[Openstelling]],Tb_Openstelling[],2,0)=1,1,""),"")</f>
        <v/>
      </c>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25">
      <c r="A1276" s="190"/>
      <c r="B1276" s="190"/>
      <c r="C1276" s="190"/>
      <c r="D1276" s="190"/>
      <c r="E1276" s="190"/>
      <c r="F1276" s="190"/>
      <c r="G1276" s="190"/>
      <c r="L1276" s="71"/>
      <c r="N1276" t="str">
        <f>IFERROR(IF(VLOOKUP(Tb_Activiteiten[[#This Row],[Openstelling]],Tb_Openstelling[],2,0)=1,1,""),"")</f>
        <v/>
      </c>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25">
      <c r="A1277" s="190"/>
      <c r="B1277" s="190"/>
      <c r="C1277" s="190"/>
      <c r="D1277" s="190"/>
      <c r="E1277" s="190"/>
      <c r="F1277" s="190"/>
      <c r="G1277" s="190"/>
      <c r="L1277" s="71"/>
      <c r="N1277" t="str">
        <f>IFERROR(IF(VLOOKUP(Tb_Activiteiten[[#This Row],[Openstelling]],Tb_Openstelling[],2,0)=1,1,""),"")</f>
        <v/>
      </c>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25">
      <c r="A1278" s="190"/>
      <c r="B1278" s="190"/>
      <c r="C1278" s="190"/>
      <c r="D1278" s="190"/>
      <c r="E1278" s="190"/>
      <c r="F1278" s="190"/>
      <c r="G1278" s="190"/>
      <c r="L1278" s="71"/>
      <c r="N1278" t="str">
        <f>IFERROR(IF(VLOOKUP(Tb_Activiteiten[[#This Row],[Openstelling]],Tb_Openstelling[],2,0)=1,1,""),"")</f>
        <v/>
      </c>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25">
      <c r="A1279" s="190"/>
      <c r="B1279" s="190"/>
      <c r="C1279" s="190"/>
      <c r="D1279" s="190"/>
      <c r="E1279" s="190"/>
      <c r="F1279" s="190"/>
      <c r="G1279" s="190"/>
      <c r="L1279" s="71"/>
      <c r="N1279" t="str">
        <f>IFERROR(IF(VLOOKUP(Tb_Activiteiten[[#This Row],[Openstelling]],Tb_Openstelling[],2,0)=1,1,""),"")</f>
        <v/>
      </c>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25">
      <c r="A1280" s="190"/>
      <c r="B1280" s="190"/>
      <c r="C1280" s="190"/>
      <c r="D1280" s="190"/>
      <c r="E1280" s="190"/>
      <c r="F1280" s="190"/>
      <c r="G1280" s="190"/>
      <c r="L1280" s="71"/>
      <c r="N1280" t="str">
        <f>IFERROR(IF(VLOOKUP(Tb_Activiteiten[[#This Row],[Openstelling]],Tb_Openstelling[],2,0)=1,1,""),"")</f>
        <v/>
      </c>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25">
      <c r="A1281" s="190"/>
      <c r="B1281" s="190"/>
      <c r="C1281" s="190"/>
      <c r="D1281" s="190"/>
      <c r="E1281" s="190"/>
      <c r="F1281" s="190"/>
      <c r="G1281" s="190"/>
      <c r="L1281" s="71"/>
      <c r="N1281" t="str">
        <f>IFERROR(IF(VLOOKUP(Tb_Activiteiten[[#This Row],[Openstelling]],Tb_Openstelling[],2,0)=1,1,""),"")</f>
        <v/>
      </c>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25">
      <c r="A1282" s="190"/>
      <c r="B1282" s="190"/>
      <c r="C1282" s="190"/>
      <c r="D1282" s="190"/>
      <c r="E1282" s="190"/>
      <c r="F1282" s="190"/>
      <c r="G1282" s="190"/>
      <c r="L1282" s="71"/>
      <c r="N1282" t="str">
        <f>IFERROR(IF(VLOOKUP(Tb_Activiteiten[[#This Row],[Openstelling]],Tb_Openstelling[],2,0)=1,1,""),"")</f>
        <v/>
      </c>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25">
      <c r="A1283" s="190"/>
      <c r="B1283" s="190"/>
      <c r="C1283" s="190"/>
      <c r="D1283" s="190"/>
      <c r="E1283" s="190"/>
      <c r="F1283" s="190"/>
      <c r="G1283" s="190"/>
      <c r="L1283" s="71"/>
      <c r="N1283" t="str">
        <f>IFERROR(IF(VLOOKUP(Tb_Activiteiten[[#This Row],[Openstelling]],Tb_Openstelling[],2,0)=1,1,""),"")</f>
        <v/>
      </c>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25">
      <c r="A1284" s="190"/>
      <c r="B1284" s="190"/>
      <c r="C1284" s="190"/>
      <c r="D1284" s="190"/>
      <c r="E1284" s="190"/>
      <c r="F1284" s="190"/>
      <c r="G1284" s="190"/>
      <c r="L1284" s="71"/>
      <c r="N1284" t="str">
        <f>IFERROR(IF(VLOOKUP(Tb_Activiteiten[[#This Row],[Openstelling]],Tb_Openstelling[],2,0)=1,1,""),"")</f>
        <v/>
      </c>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25">
      <c r="A1285" s="190"/>
      <c r="B1285" s="190"/>
      <c r="C1285" s="190"/>
      <c r="D1285" s="190"/>
      <c r="E1285" s="190"/>
      <c r="F1285" s="190"/>
      <c r="G1285" s="190"/>
      <c r="L1285" s="71"/>
      <c r="N1285" t="str">
        <f>IFERROR(IF(VLOOKUP(Tb_Activiteiten[[#This Row],[Openstelling]],Tb_Openstelling[],2,0)=1,1,""),"")</f>
        <v/>
      </c>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25">
      <c r="A1286" s="190"/>
      <c r="B1286" s="190"/>
      <c r="C1286" s="190"/>
      <c r="D1286" s="190"/>
      <c r="E1286" s="190"/>
      <c r="F1286" s="190"/>
      <c r="G1286" s="190"/>
      <c r="L1286" s="71"/>
      <c r="N1286" t="str">
        <f>IFERROR(IF(VLOOKUP(Tb_Activiteiten[[#This Row],[Openstelling]],Tb_Openstelling[],2,0)=1,1,""),"")</f>
        <v/>
      </c>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25">
      <c r="A1287" s="190"/>
      <c r="B1287" s="190"/>
      <c r="C1287" s="190"/>
      <c r="D1287" s="190"/>
      <c r="E1287" s="190"/>
      <c r="F1287" s="190"/>
      <c r="G1287" s="190"/>
      <c r="L1287" s="71"/>
      <c r="N1287" t="str">
        <f>IFERROR(IF(VLOOKUP(Tb_Activiteiten[[#This Row],[Openstelling]],Tb_Openstelling[],2,0)=1,1,""),"")</f>
        <v/>
      </c>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25">
      <c r="A1288" s="190"/>
      <c r="B1288" s="190"/>
      <c r="C1288" s="190"/>
      <c r="D1288" s="190"/>
      <c r="E1288" s="190"/>
      <c r="F1288" s="190"/>
      <c r="G1288" s="190"/>
      <c r="L1288" s="71"/>
      <c r="N1288" t="str">
        <f>IFERROR(IF(VLOOKUP(Tb_Activiteiten[[#This Row],[Openstelling]],Tb_Openstelling[],2,0)=1,1,""),"")</f>
        <v/>
      </c>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25">
      <c r="A1289" s="190"/>
      <c r="B1289" s="190"/>
      <c r="C1289" s="190"/>
      <c r="D1289" s="190"/>
      <c r="E1289" s="190"/>
      <c r="F1289" s="190"/>
      <c r="G1289" s="190"/>
      <c r="L1289" s="71"/>
      <c r="N1289" t="str">
        <f>IFERROR(IF(VLOOKUP(Tb_Activiteiten[[#This Row],[Openstelling]],Tb_Openstelling[],2,0)=1,1,""),"")</f>
        <v/>
      </c>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25">
      <c r="A1290" s="190"/>
      <c r="B1290" s="190"/>
      <c r="C1290" s="190"/>
      <c r="D1290" s="190"/>
      <c r="E1290" s="190"/>
      <c r="F1290" s="190"/>
      <c r="G1290" s="190"/>
      <c r="L1290" s="71"/>
      <c r="N1290" t="str">
        <f>IFERROR(IF(VLOOKUP(Tb_Activiteiten[[#This Row],[Openstelling]],Tb_Openstelling[],2,0)=1,1,""),"")</f>
        <v/>
      </c>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25">
      <c r="A1291" s="190"/>
      <c r="B1291" s="190"/>
      <c r="C1291" s="190"/>
      <c r="D1291" s="190"/>
      <c r="E1291" s="190"/>
      <c r="F1291" s="190"/>
      <c r="G1291" s="190"/>
      <c r="L1291" s="71"/>
      <c r="N1291" t="str">
        <f>IFERROR(IF(VLOOKUP(Tb_Activiteiten[[#This Row],[Openstelling]],Tb_Openstelling[],2,0)=1,1,""),"")</f>
        <v/>
      </c>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25">
      <c r="A1292" s="190"/>
      <c r="B1292" s="190"/>
      <c r="C1292" s="190"/>
      <c r="D1292" s="190"/>
      <c r="E1292" s="190"/>
      <c r="F1292" s="190"/>
      <c r="G1292" s="190"/>
      <c r="L1292" s="71"/>
      <c r="N1292" t="str">
        <f>IFERROR(IF(VLOOKUP(Tb_Activiteiten[[#This Row],[Openstelling]],Tb_Openstelling[],2,0)=1,1,""),"")</f>
        <v/>
      </c>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25">
      <c r="A1293" s="190"/>
      <c r="B1293" s="190"/>
      <c r="C1293" s="190"/>
      <c r="D1293" s="190"/>
      <c r="E1293" s="190"/>
      <c r="F1293" s="190"/>
      <c r="G1293" s="190"/>
      <c r="L1293" s="71"/>
      <c r="N1293" t="str">
        <f>IFERROR(IF(VLOOKUP(Tb_Activiteiten[[#This Row],[Openstelling]],Tb_Openstelling[],2,0)=1,1,""),"")</f>
        <v/>
      </c>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25">
      <c r="A1294" s="190"/>
      <c r="B1294" s="190"/>
      <c r="C1294" s="190"/>
      <c r="D1294" s="190"/>
      <c r="E1294" s="190"/>
      <c r="F1294" s="190"/>
      <c r="G1294" s="190"/>
      <c r="L1294" s="71"/>
      <c r="N1294" t="str">
        <f>IFERROR(IF(VLOOKUP(Tb_Activiteiten[[#This Row],[Openstelling]],Tb_Openstelling[],2,0)=1,1,""),"")</f>
        <v/>
      </c>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25">
      <c r="A1295" s="190"/>
      <c r="B1295" s="190"/>
      <c r="C1295" s="190"/>
      <c r="D1295" s="190"/>
      <c r="E1295" s="190"/>
      <c r="F1295" s="190"/>
      <c r="G1295" s="190"/>
      <c r="L1295" s="71"/>
      <c r="N1295" t="str">
        <f>IFERROR(IF(VLOOKUP(Tb_Activiteiten[[#This Row],[Openstelling]],Tb_Openstelling[],2,0)=1,1,""),"")</f>
        <v/>
      </c>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25">
      <c r="A1296" s="190"/>
      <c r="B1296" s="190"/>
      <c r="C1296" s="190"/>
      <c r="D1296" s="190"/>
      <c r="E1296" s="190"/>
      <c r="F1296" s="190"/>
      <c r="G1296" s="190"/>
      <c r="L1296" s="71"/>
      <c r="N1296" t="str">
        <f>IFERROR(IF(VLOOKUP(Tb_Activiteiten[[#This Row],[Openstelling]],Tb_Openstelling[],2,0)=1,1,""),"")</f>
        <v/>
      </c>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25">
      <c r="A1297" s="190"/>
      <c r="B1297" s="190"/>
      <c r="C1297" s="190"/>
      <c r="D1297" s="190"/>
      <c r="E1297" s="190"/>
      <c r="F1297" s="190"/>
      <c r="G1297" s="190"/>
      <c r="L1297" s="71"/>
      <c r="N1297" t="str">
        <f>IFERROR(IF(VLOOKUP(Tb_Activiteiten[[#This Row],[Openstelling]],Tb_Openstelling[],2,0)=1,1,""),"")</f>
        <v/>
      </c>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25">
      <c r="A1298" s="190"/>
      <c r="B1298" s="190"/>
      <c r="C1298" s="190"/>
      <c r="D1298" s="190"/>
      <c r="E1298" s="190"/>
      <c r="F1298" s="190"/>
      <c r="G1298" s="190"/>
      <c r="L1298" s="71"/>
      <c r="N1298" t="str">
        <f>IFERROR(IF(VLOOKUP(Tb_Activiteiten[[#This Row],[Openstelling]],Tb_Openstelling[],2,0)=1,1,""),"")</f>
        <v/>
      </c>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25">
      <c r="A1299" s="190"/>
      <c r="B1299" s="190"/>
      <c r="C1299" s="190"/>
      <c r="D1299" s="190"/>
      <c r="E1299" s="190"/>
      <c r="F1299" s="190"/>
      <c r="G1299" s="190"/>
      <c r="L1299" s="71"/>
      <c r="N1299" t="str">
        <f>IFERROR(IF(VLOOKUP(Tb_Activiteiten[[#This Row],[Openstelling]],Tb_Openstelling[],2,0)=1,1,""),"")</f>
        <v/>
      </c>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25">
      <c r="A1300" s="190"/>
      <c r="B1300" s="190"/>
      <c r="C1300" s="190"/>
      <c r="D1300" s="190"/>
      <c r="E1300" s="190"/>
      <c r="F1300" s="190"/>
      <c r="G1300" s="190"/>
      <c r="L1300" s="71"/>
      <c r="N1300" t="str">
        <f>IFERROR(IF(VLOOKUP(Tb_Activiteiten[[#This Row],[Openstelling]],Tb_Openstelling[],2,0)=1,1,""),"")</f>
        <v/>
      </c>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25">
      <c r="A1301" s="190"/>
      <c r="B1301" s="190"/>
      <c r="C1301" s="190"/>
      <c r="D1301" s="190"/>
      <c r="E1301" s="190"/>
      <c r="F1301" s="190"/>
      <c r="G1301" s="190"/>
      <c r="L1301" s="71"/>
      <c r="N1301" t="str">
        <f>IFERROR(IF(VLOOKUP(Tb_Activiteiten[[#This Row],[Openstelling]],Tb_Openstelling[],2,0)=1,1,""),"")</f>
        <v/>
      </c>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25">
      <c r="A1302" s="190"/>
      <c r="B1302" s="190"/>
      <c r="C1302" s="190"/>
      <c r="D1302" s="190"/>
      <c r="E1302" s="190"/>
      <c r="F1302" s="190"/>
      <c r="G1302" s="190"/>
      <c r="L1302" s="71"/>
      <c r="N1302" t="str">
        <f>IFERROR(IF(VLOOKUP(Tb_Activiteiten[[#This Row],[Openstelling]],Tb_Openstelling[],2,0)=1,1,""),"")</f>
        <v/>
      </c>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25">
      <c r="A1303" s="190"/>
      <c r="B1303" s="190"/>
      <c r="C1303" s="190"/>
      <c r="D1303" s="190"/>
      <c r="E1303" s="190"/>
      <c r="F1303" s="190"/>
      <c r="G1303" s="190"/>
      <c r="L1303" s="71"/>
      <c r="N1303" t="str">
        <f>IFERROR(IF(VLOOKUP(Tb_Activiteiten[[#This Row],[Openstelling]],Tb_Openstelling[],2,0)=1,1,""),"")</f>
        <v/>
      </c>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25">
      <c r="A1304" s="190"/>
      <c r="B1304" s="190"/>
      <c r="C1304" s="190"/>
      <c r="D1304" s="190"/>
      <c r="E1304" s="190"/>
      <c r="F1304" s="190"/>
      <c r="G1304" s="190"/>
      <c r="L1304" s="71"/>
      <c r="N1304" t="str">
        <f>IFERROR(IF(VLOOKUP(Tb_Activiteiten[[#This Row],[Openstelling]],Tb_Openstelling[],2,0)=1,1,""),"")</f>
        <v/>
      </c>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25">
      <c r="A1305" s="190"/>
      <c r="B1305" s="190"/>
      <c r="C1305" s="190"/>
      <c r="D1305" s="190"/>
      <c r="E1305" s="190"/>
      <c r="F1305" s="190"/>
      <c r="G1305" s="190"/>
      <c r="L1305" s="71"/>
      <c r="N1305" t="str">
        <f>IFERROR(IF(VLOOKUP(Tb_Activiteiten[[#This Row],[Openstelling]],Tb_Openstelling[],2,0)=1,1,""),"")</f>
        <v/>
      </c>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25">
      <c r="A1306" s="190"/>
      <c r="B1306" s="190"/>
      <c r="C1306" s="190"/>
      <c r="D1306" s="190"/>
      <c r="E1306" s="190"/>
      <c r="F1306" s="190"/>
      <c r="G1306" s="190"/>
      <c r="L1306" s="71"/>
      <c r="N1306" t="str">
        <f>IFERROR(IF(VLOOKUP(Tb_Activiteiten[[#This Row],[Openstelling]],Tb_Openstelling[],2,0)=1,1,""),"")</f>
        <v/>
      </c>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25">
      <c r="A1307" s="190"/>
      <c r="B1307" s="190"/>
      <c r="C1307" s="190"/>
      <c r="D1307" s="190"/>
      <c r="E1307" s="190"/>
      <c r="F1307" s="190"/>
      <c r="G1307" s="190"/>
      <c r="L1307" s="71"/>
      <c r="N1307" t="str">
        <f>IFERROR(IF(VLOOKUP(Tb_Activiteiten[[#This Row],[Openstelling]],Tb_Openstelling[],2,0)=1,1,""),"")</f>
        <v/>
      </c>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25">
      <c r="A1308" s="190"/>
      <c r="B1308" s="190"/>
      <c r="C1308" s="190"/>
      <c r="D1308" s="190"/>
      <c r="E1308" s="190"/>
      <c r="F1308" s="190"/>
      <c r="G1308" s="190"/>
      <c r="L1308" s="71"/>
      <c r="N1308" t="str">
        <f>IFERROR(IF(VLOOKUP(Tb_Activiteiten[[#This Row],[Openstelling]],Tb_Openstelling[],2,0)=1,1,""),"")</f>
        <v/>
      </c>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25">
      <c r="A1309" s="190"/>
      <c r="B1309" s="190"/>
      <c r="C1309" s="190"/>
      <c r="D1309" s="190"/>
      <c r="E1309" s="190"/>
      <c r="F1309" s="190"/>
      <c r="G1309" s="190"/>
      <c r="L1309" s="71"/>
      <c r="N1309" t="str">
        <f>IFERROR(IF(VLOOKUP(Tb_Activiteiten[[#This Row],[Openstelling]],Tb_Openstelling[],2,0)=1,1,""),"")</f>
        <v/>
      </c>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25">
      <c r="A1310" s="190"/>
      <c r="B1310" s="190"/>
      <c r="C1310" s="190"/>
      <c r="D1310" s="190"/>
      <c r="E1310" s="190"/>
      <c r="F1310" s="190"/>
      <c r="G1310" s="190"/>
      <c r="L1310" s="71"/>
      <c r="N1310" t="str">
        <f>IFERROR(IF(VLOOKUP(Tb_Activiteiten[[#This Row],[Openstelling]],Tb_Openstelling[],2,0)=1,1,""),"")</f>
        <v/>
      </c>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25">
      <c r="A1311" s="190"/>
      <c r="B1311" s="190"/>
      <c r="C1311" s="190"/>
      <c r="D1311" s="190"/>
      <c r="E1311" s="190"/>
      <c r="F1311" s="190"/>
      <c r="G1311" s="190"/>
      <c r="L1311" s="71"/>
      <c r="N1311" t="str">
        <f>IFERROR(IF(VLOOKUP(Tb_Activiteiten[[#This Row],[Openstelling]],Tb_Openstelling[],2,0)=1,1,""),"")</f>
        <v/>
      </c>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25">
      <c r="A1312" s="190"/>
      <c r="B1312" s="190"/>
      <c r="C1312" s="190"/>
      <c r="D1312" s="190"/>
      <c r="E1312" s="190"/>
      <c r="F1312" s="190"/>
      <c r="G1312" s="190"/>
      <c r="L1312" s="71"/>
      <c r="N1312" t="str">
        <f>IFERROR(IF(VLOOKUP(Tb_Activiteiten[[#This Row],[Openstelling]],Tb_Openstelling[],2,0)=1,1,""),"")</f>
        <v/>
      </c>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25">
      <c r="A1313" s="190"/>
      <c r="B1313" s="190"/>
      <c r="C1313" s="190"/>
      <c r="D1313" s="190"/>
      <c r="E1313" s="190"/>
      <c r="F1313" s="190"/>
      <c r="G1313" s="190"/>
      <c r="L1313" s="71"/>
      <c r="N1313" t="str">
        <f>IFERROR(IF(VLOOKUP(Tb_Activiteiten[[#This Row],[Openstelling]],Tb_Openstelling[],2,0)=1,1,""),"")</f>
        <v/>
      </c>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25">
      <c r="A1314" s="190"/>
      <c r="B1314" s="190"/>
      <c r="C1314" s="190"/>
      <c r="D1314" s="190"/>
      <c r="E1314" s="190"/>
      <c r="F1314" s="190"/>
      <c r="G1314" s="190"/>
      <c r="L1314" s="71"/>
      <c r="N1314" t="str">
        <f>IFERROR(IF(VLOOKUP(Tb_Activiteiten[[#This Row],[Openstelling]],Tb_Openstelling[],2,0)=1,1,""),"")</f>
        <v/>
      </c>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25">
      <c r="A1315" s="190"/>
      <c r="B1315" s="190"/>
      <c r="C1315" s="190"/>
      <c r="D1315" s="190"/>
      <c r="E1315" s="190"/>
      <c r="F1315" s="190"/>
      <c r="G1315" s="190"/>
      <c r="L1315" s="71"/>
      <c r="N1315" t="str">
        <f>IFERROR(IF(VLOOKUP(Tb_Activiteiten[[#This Row],[Openstelling]],Tb_Openstelling[],2,0)=1,1,""),"")</f>
        <v/>
      </c>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25">
      <c r="A1316" s="190"/>
      <c r="B1316" s="190"/>
      <c r="C1316" s="190"/>
      <c r="D1316" s="190"/>
      <c r="E1316" s="190"/>
      <c r="F1316" s="190"/>
      <c r="G1316" s="190"/>
      <c r="L1316" s="71"/>
      <c r="N1316" t="str">
        <f>IFERROR(IF(VLOOKUP(Tb_Activiteiten[[#This Row],[Openstelling]],Tb_Openstelling[],2,0)=1,1,""),"")</f>
        <v/>
      </c>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25">
      <c r="A1317" s="190"/>
      <c r="B1317" s="190"/>
      <c r="C1317" s="190"/>
      <c r="D1317" s="190"/>
      <c r="E1317" s="190"/>
      <c r="F1317" s="190"/>
      <c r="G1317" s="190"/>
      <c r="L1317" s="71"/>
      <c r="N1317" t="str">
        <f>IFERROR(IF(VLOOKUP(Tb_Activiteiten[[#This Row],[Openstelling]],Tb_Openstelling[],2,0)=1,1,""),"")</f>
        <v/>
      </c>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25">
      <c r="A1318" s="190"/>
      <c r="B1318" s="190"/>
      <c r="C1318" s="190"/>
      <c r="D1318" s="190"/>
      <c r="E1318" s="190"/>
      <c r="F1318" s="190"/>
      <c r="G1318" s="190"/>
      <c r="L1318" s="71"/>
      <c r="N1318" t="str">
        <f>IFERROR(IF(VLOOKUP(Tb_Activiteiten[[#This Row],[Openstelling]],Tb_Openstelling[],2,0)=1,1,""),"")</f>
        <v/>
      </c>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25">
      <c r="A1319" s="190"/>
      <c r="B1319" s="190"/>
      <c r="C1319" s="190"/>
      <c r="D1319" s="190"/>
      <c r="E1319" s="190"/>
      <c r="F1319" s="190"/>
      <c r="G1319" s="190"/>
      <c r="L1319" s="71"/>
      <c r="N1319" t="str">
        <f>IFERROR(IF(VLOOKUP(Tb_Activiteiten[[#This Row],[Openstelling]],Tb_Openstelling[],2,0)=1,1,""),"")</f>
        <v/>
      </c>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25">
      <c r="A1320" s="190"/>
      <c r="B1320" s="190"/>
      <c r="C1320" s="190"/>
      <c r="D1320" s="190"/>
      <c r="E1320" s="190"/>
      <c r="F1320" s="190"/>
      <c r="G1320" s="190"/>
      <c r="L1320" s="71"/>
      <c r="N1320" t="str">
        <f>IFERROR(IF(VLOOKUP(Tb_Activiteiten[[#This Row],[Openstelling]],Tb_Openstelling[],2,0)=1,1,""),"")</f>
        <v/>
      </c>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25">
      <c r="A1321" s="190"/>
      <c r="B1321" s="190"/>
      <c r="C1321" s="190"/>
      <c r="D1321" s="190"/>
      <c r="E1321" s="190"/>
      <c r="F1321" s="190"/>
      <c r="G1321" s="190"/>
      <c r="L1321" s="71"/>
      <c r="N1321" t="str">
        <f>IFERROR(IF(VLOOKUP(Tb_Activiteiten[[#This Row],[Openstelling]],Tb_Openstelling[],2,0)=1,1,""),"")</f>
        <v/>
      </c>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25">
      <c r="A1322" s="190"/>
      <c r="B1322" s="190"/>
      <c r="C1322" s="190"/>
      <c r="D1322" s="190"/>
      <c r="E1322" s="190"/>
      <c r="F1322" s="190"/>
      <c r="G1322" s="190"/>
      <c r="L1322" s="71"/>
      <c r="N1322" t="str">
        <f>IFERROR(IF(VLOOKUP(Tb_Activiteiten[[#This Row],[Openstelling]],Tb_Openstelling[],2,0)=1,1,""),"")</f>
        <v/>
      </c>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25">
      <c r="A1323" s="190"/>
      <c r="B1323" s="190"/>
      <c r="C1323" s="190"/>
      <c r="D1323" s="190"/>
      <c r="E1323" s="190"/>
      <c r="F1323" s="190"/>
      <c r="G1323" s="190"/>
      <c r="L1323" s="71"/>
      <c r="N1323" t="str">
        <f>IFERROR(IF(VLOOKUP(Tb_Activiteiten[[#This Row],[Openstelling]],Tb_Openstelling[],2,0)=1,1,""),"")</f>
        <v/>
      </c>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25">
      <c r="L1324" s="71"/>
      <c r="N1324" t="str">
        <f>IFERROR(IF(VLOOKUP(Tb_Activiteiten[[#This Row],[Openstelling]],Tb_Openstelling[],2,0)=1,1,""),"")</f>
        <v/>
      </c>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25">
      <c r="L1325" s="71"/>
      <c r="N1325" t="str">
        <f>IFERROR(IF(VLOOKUP(Tb_Activiteiten[[#This Row],[Openstelling]],Tb_Openstelling[],2,0)=1,1,""),"")</f>
        <v/>
      </c>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25">
      <c r="L1326" s="71"/>
      <c r="N1326" t="str">
        <f>IFERROR(IF(VLOOKUP(Tb_Activiteiten[[#This Row],[Openstelling]],Tb_Openstelling[],2,0)=1,1,""),"")</f>
        <v/>
      </c>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25">
      <c r="L1327" s="71"/>
      <c r="N1327" t="str">
        <f>IFERROR(IF(VLOOKUP(Tb_Activiteiten[[#This Row],[Openstelling]],Tb_Openstelling[],2,0)=1,1,""),"")</f>
        <v/>
      </c>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25">
      <c r="L1328" s="71"/>
      <c r="N1328" t="str">
        <f>IFERROR(IF(VLOOKUP(Tb_Activiteiten[[#This Row],[Openstelling]],Tb_Openstelling[],2,0)=1,1,""),"")</f>
        <v/>
      </c>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2:40" x14ac:dyDescent="0.25">
      <c r="L1329" s="71"/>
      <c r="N1329" t="str">
        <f>IFERROR(IF(VLOOKUP(Tb_Activiteiten[[#This Row],[Openstelling]],Tb_Openstelling[],2,0)=1,1,""),"")</f>
        <v/>
      </c>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2:40" x14ac:dyDescent="0.25">
      <c r="L1330" s="71"/>
      <c r="N1330" t="str">
        <f>IFERROR(IF(VLOOKUP(Tb_Activiteiten[[#This Row],[Openstelling]],Tb_Openstelling[],2,0)=1,1,""),"")</f>
        <v/>
      </c>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2:40" x14ac:dyDescent="0.25">
      <c r="L1331" s="71"/>
      <c r="N1331" t="str">
        <f>IFERROR(IF(VLOOKUP(Tb_Activiteiten[[#This Row],[Openstelling]],Tb_Openstelling[],2,0)=1,1,""),"")</f>
        <v/>
      </c>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2:40" x14ac:dyDescent="0.25">
      <c r="L1332" s="71"/>
      <c r="N1332" t="str">
        <f>IFERROR(IF(VLOOKUP(Tb_Activiteiten[[#This Row],[Openstelling]],Tb_Openstelling[],2,0)=1,1,""),"")</f>
        <v/>
      </c>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2:40" x14ac:dyDescent="0.25">
      <c r="L1333" s="71"/>
      <c r="N1333" t="str">
        <f>IFERROR(IF(VLOOKUP(Tb_Activiteiten[[#This Row],[Openstelling]],Tb_Openstelling[],2,0)=1,1,""),"")</f>
        <v/>
      </c>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2:40" x14ac:dyDescent="0.25">
      <c r="L1334" s="71"/>
      <c r="N1334" t="str">
        <f>IFERROR(IF(VLOOKUP(Tb_Activiteiten[[#This Row],[Openstelling]],Tb_Openstelling[],2,0)=1,1,""),"")</f>
        <v/>
      </c>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2:40" x14ac:dyDescent="0.25">
      <c r="L1335" s="71"/>
      <c r="N1335" t="str">
        <f>IFERROR(IF(VLOOKUP(Tb_Activiteiten[[#This Row],[Openstelling]],Tb_Openstelling[],2,0)=1,1,""),"")</f>
        <v/>
      </c>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2:40" x14ac:dyDescent="0.25">
      <c r="L1336" s="71"/>
      <c r="N1336" t="str">
        <f>IFERROR(IF(VLOOKUP(Tb_Activiteiten[[#This Row],[Openstelling]],Tb_Openstelling[],2,0)=1,1,""),"")</f>
        <v/>
      </c>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2:40" x14ac:dyDescent="0.25">
      <c r="L1337" s="71"/>
      <c r="N1337" t="str">
        <f>IFERROR(IF(VLOOKUP(Tb_Activiteiten[[#This Row],[Openstelling]],Tb_Openstelling[],2,0)=1,1,""),"")</f>
        <v/>
      </c>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2:40" x14ac:dyDescent="0.25">
      <c r="L1338" s="71"/>
      <c r="N1338" t="str">
        <f>IFERROR(IF(VLOOKUP(Tb_Activiteiten[[#This Row],[Openstelling]],Tb_Openstelling[],2,0)=1,1,""),"")</f>
        <v/>
      </c>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2:40" x14ac:dyDescent="0.25">
      <c r="L1339" s="71"/>
      <c r="N1339" t="str">
        <f>IFERROR(IF(VLOOKUP(Tb_Activiteiten[[#This Row],[Openstelling]],Tb_Openstelling[],2,0)=1,1,""),"")</f>
        <v/>
      </c>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2:40" x14ac:dyDescent="0.25">
      <c r="L1340" s="71"/>
      <c r="N1340" t="str">
        <f>IFERROR(IF(VLOOKUP(Tb_Activiteiten[[#This Row],[Openstelling]],Tb_Openstelling[],2,0)=1,1,""),"")</f>
        <v/>
      </c>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2:40" x14ac:dyDescent="0.25">
      <c r="L1341" s="71"/>
      <c r="N1341" t="str">
        <f>IFERROR(IF(VLOOKUP(Tb_Activiteiten[[#This Row],[Openstelling]],Tb_Openstelling[],2,0)=1,1,""),"")</f>
        <v/>
      </c>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2:40" x14ac:dyDescent="0.25">
      <c r="L1342" s="71"/>
      <c r="N1342" t="str">
        <f>IFERROR(IF(VLOOKUP(Tb_Activiteiten[[#This Row],[Openstelling]],Tb_Openstelling[],2,0)=1,1,""),"")</f>
        <v/>
      </c>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2:40" x14ac:dyDescent="0.25">
      <c r="L1343" s="71"/>
      <c r="N1343" t="str">
        <f>IFERROR(IF(VLOOKUP(Tb_Activiteiten[[#This Row],[Openstelling]],Tb_Openstelling[],2,0)=1,1,""),"")</f>
        <v/>
      </c>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2:40" x14ac:dyDescent="0.25">
      <c r="L1344" s="71"/>
      <c r="N1344" t="str">
        <f>IFERROR(IF(VLOOKUP(Tb_Activiteiten[[#This Row],[Openstelling]],Tb_Openstelling[],2,0)=1,1,""),"")</f>
        <v/>
      </c>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2:40" x14ac:dyDescent="0.25">
      <c r="L1345" s="71"/>
      <c r="N1345" t="str">
        <f>IFERROR(IF(VLOOKUP(Tb_Activiteiten[[#This Row],[Openstelling]],Tb_Openstelling[],2,0)=1,1,""),"")</f>
        <v/>
      </c>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2:40" x14ac:dyDescent="0.25">
      <c r="L1346" s="71"/>
      <c r="N1346" t="str">
        <f>IFERROR(IF(VLOOKUP(Tb_Activiteiten[[#This Row],[Openstelling]],Tb_Openstelling[],2,0)=1,1,""),"")</f>
        <v/>
      </c>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2:40" x14ac:dyDescent="0.25">
      <c r="L1347" s="71"/>
      <c r="N1347" t="str">
        <f>IFERROR(IF(VLOOKUP(Tb_Activiteiten[[#This Row],[Openstelling]],Tb_Openstelling[],2,0)=1,1,""),"")</f>
        <v/>
      </c>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2:40" x14ac:dyDescent="0.25">
      <c r="L1348" s="71"/>
      <c r="N1348" t="str">
        <f>IFERROR(IF(VLOOKUP(Tb_Activiteiten[[#This Row],[Openstelling]],Tb_Openstelling[],2,0)=1,1,""),"")</f>
        <v/>
      </c>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2:40" x14ac:dyDescent="0.25">
      <c r="L1349" s="71"/>
      <c r="N1349" t="str">
        <f>IFERROR(IF(VLOOKUP(Tb_Activiteiten[[#This Row],[Openstelling]],Tb_Openstelling[],2,0)=1,1,""),"")</f>
        <v/>
      </c>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2:40" x14ac:dyDescent="0.25">
      <c r="L1350" s="71"/>
      <c r="N1350" t="str">
        <f>IFERROR(IF(VLOOKUP(Tb_Activiteiten[[#This Row],[Openstelling]],Tb_Openstelling[],2,0)=1,1,""),"")</f>
        <v/>
      </c>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2:40" x14ac:dyDescent="0.25">
      <c r="L1351" s="71"/>
      <c r="N1351" t="str">
        <f>IFERROR(IF(VLOOKUP(Tb_Activiteiten[[#This Row],[Openstelling]],Tb_Openstelling[],2,0)=1,1,""),"")</f>
        <v/>
      </c>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2:40" x14ac:dyDescent="0.25">
      <c r="L1352" s="71"/>
      <c r="N1352" t="str">
        <f>IFERROR(IF(VLOOKUP(Tb_Activiteiten[[#This Row],[Openstelling]],Tb_Openstelling[],2,0)=1,1,""),"")</f>
        <v/>
      </c>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2:40" x14ac:dyDescent="0.25">
      <c r="L1353" s="71"/>
      <c r="N1353" t="str">
        <f>IFERROR(IF(VLOOKUP(Tb_Activiteiten[[#This Row],[Openstelling]],Tb_Openstelling[],2,0)=1,1,""),"")</f>
        <v/>
      </c>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2:40" x14ac:dyDescent="0.25">
      <c r="L1354" s="71"/>
      <c r="N1354" t="str">
        <f>IFERROR(IF(VLOOKUP(Tb_Activiteiten[[#This Row],[Openstelling]],Tb_Openstelling[],2,0)=1,1,""),"")</f>
        <v/>
      </c>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2:40" x14ac:dyDescent="0.25">
      <c r="L1355" s="71"/>
      <c r="N1355" t="str">
        <f>IFERROR(IF(VLOOKUP(Tb_Activiteiten[[#This Row],[Openstelling]],Tb_Openstelling[],2,0)=1,1,""),"")</f>
        <v/>
      </c>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2:40" x14ac:dyDescent="0.25">
      <c r="L1356" s="71"/>
      <c r="N1356" t="str">
        <f>IFERROR(IF(VLOOKUP(Tb_Activiteiten[[#This Row],[Openstelling]],Tb_Openstelling[],2,0)=1,1,""),"")</f>
        <v/>
      </c>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2:40" x14ac:dyDescent="0.25">
      <c r="L1357" s="71"/>
      <c r="N1357" t="str">
        <f>IFERROR(IF(VLOOKUP(Tb_Activiteiten[[#This Row],[Openstelling]],Tb_Openstelling[],2,0)=1,1,""),"")</f>
        <v/>
      </c>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2:40" x14ac:dyDescent="0.25">
      <c r="L1358" s="71"/>
      <c r="N1358" t="str">
        <f>IFERROR(IF(VLOOKUP(Tb_Activiteiten[[#This Row],[Openstelling]],Tb_Openstelling[],2,0)=1,1,""),"")</f>
        <v/>
      </c>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2:40" x14ac:dyDescent="0.25">
      <c r="L1359" s="71"/>
      <c r="N1359" t="str">
        <f>IFERROR(IF(VLOOKUP(Tb_Activiteiten[[#This Row],[Openstelling]],Tb_Openstelling[],2,0)=1,1,""),"")</f>
        <v/>
      </c>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2:40" x14ac:dyDescent="0.25">
      <c r="L1360" s="71"/>
      <c r="N1360" t="str">
        <f>IFERROR(IF(VLOOKUP(Tb_Activiteiten[[#This Row],[Openstelling]],Tb_Openstelling[],2,0)=1,1,""),"")</f>
        <v/>
      </c>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2:40" x14ac:dyDescent="0.25">
      <c r="L1361" s="71"/>
      <c r="N1361" t="str">
        <f>IFERROR(IF(VLOOKUP(Tb_Activiteiten[[#This Row],[Openstelling]],Tb_Openstelling[],2,0)=1,1,""),"")</f>
        <v/>
      </c>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2:40" x14ac:dyDescent="0.25">
      <c r="L1362" s="71"/>
      <c r="N1362" t="str">
        <f>IFERROR(IF(VLOOKUP(Tb_Activiteiten[[#This Row],[Openstelling]],Tb_Openstelling[],2,0)=1,1,""),"")</f>
        <v/>
      </c>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2:40" x14ac:dyDescent="0.25">
      <c r="L1363" s="71"/>
      <c r="N1363" t="str">
        <f>IFERROR(IF(VLOOKUP(Tb_Activiteiten[[#This Row],[Openstelling]],Tb_Openstelling[],2,0)=1,1,""),"")</f>
        <v/>
      </c>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2:40" x14ac:dyDescent="0.25">
      <c r="L1364" s="71"/>
      <c r="N1364" t="str">
        <f>IFERROR(IF(VLOOKUP(Tb_Activiteiten[[#This Row],[Openstelling]],Tb_Openstelling[],2,0)=1,1,""),"")</f>
        <v/>
      </c>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2:40" x14ac:dyDescent="0.25">
      <c r="L1365" s="71"/>
      <c r="N1365" t="str">
        <f>IFERROR(IF(VLOOKUP(Tb_Activiteiten[[#This Row],[Openstelling]],Tb_Openstelling[],2,0)=1,1,""),"")</f>
        <v/>
      </c>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2:40" x14ac:dyDescent="0.25">
      <c r="L1366" s="71"/>
      <c r="N1366" t="str">
        <f>IFERROR(IF(VLOOKUP(Tb_Activiteiten[[#This Row],[Openstelling]],Tb_Openstelling[],2,0)=1,1,""),"")</f>
        <v/>
      </c>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2:40" x14ac:dyDescent="0.25">
      <c r="L1367" s="71"/>
      <c r="N1367" t="str">
        <f>IFERROR(IF(VLOOKUP(Tb_Activiteiten[[#This Row],[Openstelling]],Tb_Openstelling[],2,0)=1,1,""),"")</f>
        <v/>
      </c>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2:40" x14ac:dyDescent="0.25">
      <c r="L1368" s="71"/>
      <c r="N1368" t="str">
        <f>IFERROR(IF(VLOOKUP(Tb_Activiteiten[[#This Row],[Openstelling]],Tb_Openstelling[],2,0)=1,1,""),"")</f>
        <v/>
      </c>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2:40" x14ac:dyDescent="0.25">
      <c r="L1369" s="71"/>
      <c r="N1369" t="str">
        <f>IFERROR(IF(VLOOKUP(Tb_Activiteiten[[#This Row],[Openstelling]],Tb_Openstelling[],2,0)=1,1,""),"")</f>
        <v/>
      </c>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2:40" x14ac:dyDescent="0.25">
      <c r="L1370" s="71"/>
      <c r="N1370" t="str">
        <f>IFERROR(IF(VLOOKUP(Tb_Activiteiten[[#This Row],[Openstelling]],Tb_Openstelling[],2,0)=1,1,""),"")</f>
        <v/>
      </c>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2:40" x14ac:dyDescent="0.25">
      <c r="L1371" s="71"/>
      <c r="N1371" t="str">
        <f>IFERROR(IF(VLOOKUP(Tb_Activiteiten[[#This Row],[Openstelling]],Tb_Openstelling[],2,0)=1,1,""),"")</f>
        <v/>
      </c>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2:40" x14ac:dyDescent="0.25">
      <c r="L1372" s="71"/>
      <c r="N1372" t="str">
        <f>IFERROR(IF(VLOOKUP(Tb_Activiteiten[[#This Row],[Openstelling]],Tb_Openstelling[],2,0)=1,1,""),"")</f>
        <v/>
      </c>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2:40" x14ac:dyDescent="0.25">
      <c r="L1373" s="71"/>
      <c r="N1373" t="str">
        <f>IFERROR(IF(VLOOKUP(Tb_Activiteiten[[#This Row],[Openstelling]],Tb_Openstelling[],2,0)=1,1,""),"")</f>
        <v/>
      </c>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2:40" x14ac:dyDescent="0.25">
      <c r="L1374" s="71"/>
      <c r="N1374" t="str">
        <f>IFERROR(IF(VLOOKUP(Tb_Activiteiten[[#This Row],[Openstelling]],Tb_Openstelling[],2,0)=1,1,""),"")</f>
        <v/>
      </c>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2:40" x14ac:dyDescent="0.25">
      <c r="L1375" s="71"/>
      <c r="N1375" t="str">
        <f>IFERROR(IF(VLOOKUP(Tb_Activiteiten[[#This Row],[Openstelling]],Tb_Openstelling[],2,0)=1,1,""),"")</f>
        <v/>
      </c>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2:40" x14ac:dyDescent="0.25">
      <c r="L1376" s="71"/>
      <c r="N1376" t="str">
        <f>IFERROR(IF(VLOOKUP(Tb_Activiteiten[[#This Row],[Openstelling]],Tb_Openstelling[],2,0)=1,1,""),"")</f>
        <v/>
      </c>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2:40" x14ac:dyDescent="0.25">
      <c r="L1377" s="71"/>
      <c r="N1377" t="str">
        <f>IFERROR(IF(VLOOKUP(Tb_Activiteiten[[#This Row],[Openstelling]],Tb_Openstelling[],2,0)=1,1,""),"")</f>
        <v/>
      </c>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2:40" x14ac:dyDescent="0.25">
      <c r="L1378" s="71"/>
      <c r="N1378" t="str">
        <f>IFERROR(IF(VLOOKUP(Tb_Activiteiten[[#This Row],[Openstelling]],Tb_Openstelling[],2,0)=1,1,""),"")</f>
        <v/>
      </c>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2:40" x14ac:dyDescent="0.25">
      <c r="L1379" s="71"/>
      <c r="N1379" t="str">
        <f>IFERROR(IF(VLOOKUP(Tb_Activiteiten[[#This Row],[Openstelling]],Tb_Openstelling[],2,0)=1,1,""),"")</f>
        <v/>
      </c>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2:40" x14ac:dyDescent="0.25">
      <c r="L1380" s="71"/>
      <c r="N1380" t="str">
        <f>IFERROR(IF(VLOOKUP(Tb_Activiteiten[[#This Row],[Openstelling]],Tb_Openstelling[],2,0)=1,1,""),"")</f>
        <v/>
      </c>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2:40" x14ac:dyDescent="0.25">
      <c r="L1381" s="71"/>
      <c r="N1381" t="str">
        <f>IFERROR(IF(VLOOKUP(Tb_Activiteiten[[#This Row],[Openstelling]],Tb_Openstelling[],2,0)=1,1,""),"")</f>
        <v/>
      </c>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2:40" x14ac:dyDescent="0.25">
      <c r="L1382" s="71"/>
      <c r="N1382" t="str">
        <f>IFERROR(IF(VLOOKUP(Tb_Activiteiten[[#This Row],[Openstelling]],Tb_Openstelling[],2,0)=1,1,""),"")</f>
        <v/>
      </c>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2:40" x14ac:dyDescent="0.25">
      <c r="L1383" s="71"/>
      <c r="N1383" t="str">
        <f>IFERROR(IF(VLOOKUP(Tb_Activiteiten[[#This Row],[Openstelling]],Tb_Openstelling[],2,0)=1,1,""),"")</f>
        <v/>
      </c>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2:40" x14ac:dyDescent="0.25">
      <c r="L1384" s="71"/>
      <c r="N1384" t="str">
        <f>IFERROR(IF(VLOOKUP(Tb_Activiteiten[[#This Row],[Openstelling]],Tb_Openstelling[],2,0)=1,1,""),"")</f>
        <v/>
      </c>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2:40" x14ac:dyDescent="0.25">
      <c r="L1385" s="71"/>
      <c r="N1385" t="str">
        <f>IFERROR(IF(VLOOKUP(Tb_Activiteiten[[#This Row],[Openstelling]],Tb_Openstelling[],2,0)=1,1,""),"")</f>
        <v/>
      </c>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2:40" x14ac:dyDescent="0.25">
      <c r="L1386" s="71"/>
      <c r="N1386" t="str">
        <f>IFERROR(IF(VLOOKUP(Tb_Activiteiten[[#This Row],[Openstelling]],Tb_Openstelling[],2,0)=1,1,""),"")</f>
        <v/>
      </c>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2:40" x14ac:dyDescent="0.25">
      <c r="L1387" s="71"/>
      <c r="N1387" t="str">
        <f>IFERROR(IF(VLOOKUP(Tb_Activiteiten[[#This Row],[Openstelling]],Tb_Openstelling[],2,0)=1,1,""),"")</f>
        <v/>
      </c>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2:40" x14ac:dyDescent="0.25">
      <c r="L1388" s="71"/>
      <c r="N1388" t="str">
        <f>IFERROR(IF(VLOOKUP(Tb_Activiteiten[[#This Row],[Openstelling]],Tb_Openstelling[],2,0)=1,1,""),"")</f>
        <v/>
      </c>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2:40" x14ac:dyDescent="0.25">
      <c r="L1389" s="71"/>
      <c r="N1389" t="str">
        <f>IFERROR(IF(VLOOKUP(Tb_Activiteiten[[#This Row],[Openstelling]],Tb_Openstelling[],2,0)=1,1,""),"")</f>
        <v/>
      </c>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2:40" x14ac:dyDescent="0.25">
      <c r="L1390" s="71"/>
      <c r="N1390" t="str">
        <f>IFERROR(IF(VLOOKUP(Tb_Activiteiten[[#This Row],[Openstelling]],Tb_Openstelling[],2,0)=1,1,""),"")</f>
        <v/>
      </c>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2:40" x14ac:dyDescent="0.25">
      <c r="L1391" s="71"/>
      <c r="N1391" t="str">
        <f>IFERROR(IF(VLOOKUP(Tb_Activiteiten[[#This Row],[Openstelling]],Tb_Openstelling[],2,0)=1,1,""),"")</f>
        <v/>
      </c>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2:40" x14ac:dyDescent="0.25">
      <c r="L1392" s="71"/>
      <c r="N1392" t="str">
        <f>IFERROR(IF(VLOOKUP(Tb_Activiteiten[[#This Row],[Openstelling]],Tb_Openstelling[],2,0)=1,1,""),"")</f>
        <v/>
      </c>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2:40" x14ac:dyDescent="0.25">
      <c r="L1393" s="71"/>
      <c r="N1393" t="str">
        <f>IFERROR(IF(VLOOKUP(Tb_Activiteiten[[#This Row],[Openstelling]],Tb_Openstelling[],2,0)=1,1,""),"")</f>
        <v/>
      </c>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2:40" x14ac:dyDescent="0.25">
      <c r="L1394" s="71"/>
      <c r="N1394" t="str">
        <f>IFERROR(IF(VLOOKUP(Tb_Activiteiten[[#This Row],[Openstelling]],Tb_Openstelling[],2,0)=1,1,""),"")</f>
        <v/>
      </c>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2:40" x14ac:dyDescent="0.25">
      <c r="L1395" s="71"/>
      <c r="N1395" t="str">
        <f>IFERROR(IF(VLOOKUP(Tb_Activiteiten[[#This Row],[Openstelling]],Tb_Openstelling[],2,0)=1,1,""),"")</f>
        <v/>
      </c>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2:40" x14ac:dyDescent="0.25">
      <c r="L1396" s="71"/>
      <c r="N1396" t="str">
        <f>IFERROR(IF(VLOOKUP(Tb_Activiteiten[[#This Row],[Openstelling]],Tb_Openstelling[],2,0)=1,1,""),"")</f>
        <v/>
      </c>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2:40" x14ac:dyDescent="0.25">
      <c r="L1397" s="71"/>
      <c r="N1397" t="str">
        <f>IFERROR(IF(VLOOKUP(Tb_Activiteiten[[#This Row],[Openstelling]],Tb_Openstelling[],2,0)=1,1,""),"")</f>
        <v/>
      </c>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2:40" x14ac:dyDescent="0.25">
      <c r="L1398" s="71"/>
      <c r="N1398" t="str">
        <f>IFERROR(IF(VLOOKUP(Tb_Activiteiten[[#This Row],[Openstelling]],Tb_Openstelling[],2,0)=1,1,""),"")</f>
        <v/>
      </c>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2:40" x14ac:dyDescent="0.25">
      <c r="L1399" s="71"/>
      <c r="N1399" t="str">
        <f>IFERROR(IF(VLOOKUP(Tb_Activiteiten[[#This Row],[Openstelling]],Tb_Openstelling[],2,0)=1,1,""),"")</f>
        <v/>
      </c>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2:40" x14ac:dyDescent="0.25">
      <c r="L1400" s="71"/>
      <c r="N1400" t="str">
        <f>IFERROR(IF(VLOOKUP(Tb_Activiteiten[[#This Row],[Openstelling]],Tb_Openstelling[],2,0)=1,1,""),"")</f>
        <v/>
      </c>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2:40" x14ac:dyDescent="0.25">
      <c r="L1401" s="71"/>
      <c r="N1401" t="str">
        <f>IFERROR(IF(VLOOKUP(Tb_Activiteiten[[#This Row],[Openstelling]],Tb_Openstelling[],2,0)=1,1,""),"")</f>
        <v/>
      </c>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2:40" x14ac:dyDescent="0.25">
      <c r="L1402" s="71"/>
      <c r="N1402" t="str">
        <f>IFERROR(IF(VLOOKUP(Tb_Activiteiten[[#This Row],[Openstelling]],Tb_Openstelling[],2,0)=1,1,""),"")</f>
        <v/>
      </c>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2:40" x14ac:dyDescent="0.25">
      <c r="L1403" s="71"/>
      <c r="N1403" t="str">
        <f>IFERROR(IF(VLOOKUP(Tb_Activiteiten[[#This Row],[Openstelling]],Tb_Openstelling[],2,0)=1,1,""),"")</f>
        <v/>
      </c>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2:40" x14ac:dyDescent="0.25">
      <c r="L1404" s="71"/>
      <c r="N1404" t="str">
        <f>IFERROR(IF(VLOOKUP(Tb_Activiteiten[[#This Row],[Openstelling]],Tb_Openstelling[],2,0)=1,1,""),"")</f>
        <v/>
      </c>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2:40" x14ac:dyDescent="0.25">
      <c r="L1405" s="71"/>
      <c r="N1405" t="str">
        <f>IFERROR(IF(VLOOKUP(Tb_Activiteiten[[#This Row],[Openstelling]],Tb_Openstelling[],2,0)=1,1,""),"")</f>
        <v/>
      </c>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2:40" x14ac:dyDescent="0.25">
      <c r="L1406" s="71"/>
      <c r="N1406" t="str">
        <f>IFERROR(IF(VLOOKUP(Tb_Activiteiten[[#This Row],[Openstelling]],Tb_Openstelling[],2,0)=1,1,""),"")</f>
        <v/>
      </c>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2:40" x14ac:dyDescent="0.25">
      <c r="L1407" s="71"/>
      <c r="N1407" t="str">
        <f>IFERROR(IF(VLOOKUP(Tb_Activiteiten[[#This Row],[Openstelling]],Tb_Openstelling[],2,0)=1,1,""),"")</f>
        <v/>
      </c>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2:40" x14ac:dyDescent="0.25">
      <c r="L1408" s="71"/>
      <c r="N1408" t="str">
        <f>IFERROR(IF(VLOOKUP(Tb_Activiteiten[[#This Row],[Openstelling]],Tb_Openstelling[],2,0)=1,1,""),"")</f>
        <v/>
      </c>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2:40" x14ac:dyDescent="0.25">
      <c r="L1409" s="71"/>
      <c r="N1409" t="str">
        <f>IFERROR(IF(VLOOKUP(Tb_Activiteiten[[#This Row],[Openstelling]],Tb_Openstelling[],2,0)=1,1,""),"")</f>
        <v/>
      </c>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2:40" x14ac:dyDescent="0.25">
      <c r="L1410" s="71"/>
      <c r="N1410" t="str">
        <f>IFERROR(IF(VLOOKUP(Tb_Activiteiten[[#This Row],[Openstelling]],Tb_Openstelling[],2,0)=1,1,""),"")</f>
        <v/>
      </c>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2:40" x14ac:dyDescent="0.25">
      <c r="L1411" s="71"/>
      <c r="N1411" t="str">
        <f>IFERROR(IF(VLOOKUP(Tb_Activiteiten[[#This Row],[Openstelling]],Tb_Openstelling[],2,0)=1,1,""),"")</f>
        <v/>
      </c>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2:40" x14ac:dyDescent="0.25">
      <c r="L1412" s="71"/>
      <c r="N1412" t="str">
        <f>IFERROR(IF(VLOOKUP(Tb_Activiteiten[[#This Row],[Openstelling]],Tb_Openstelling[],2,0)=1,1,""),"")</f>
        <v/>
      </c>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2:40" x14ac:dyDescent="0.25">
      <c r="L1413" s="71"/>
      <c r="N1413" t="str">
        <f>IFERROR(IF(VLOOKUP(Tb_Activiteiten[[#This Row],[Openstelling]],Tb_Openstelling[],2,0)=1,1,""),"")</f>
        <v/>
      </c>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2:40" x14ac:dyDescent="0.25">
      <c r="L1414" s="71"/>
      <c r="N1414" t="str">
        <f>IFERROR(IF(VLOOKUP(Tb_Activiteiten[[#This Row],[Openstelling]],Tb_Openstelling[],2,0)=1,1,""),"")</f>
        <v/>
      </c>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2:40" x14ac:dyDescent="0.25">
      <c r="L1415" s="71"/>
      <c r="N1415" t="str">
        <f>IFERROR(IF(VLOOKUP(Tb_Activiteiten[[#This Row],[Openstelling]],Tb_Openstelling[],2,0)=1,1,""),"")</f>
        <v/>
      </c>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2:40" x14ac:dyDescent="0.25">
      <c r="L1416" s="71"/>
      <c r="N1416" t="str">
        <f>IFERROR(IF(VLOOKUP(Tb_Activiteiten[[#This Row],[Openstelling]],Tb_Openstelling[],2,0)=1,1,""),"")</f>
        <v/>
      </c>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2:40" x14ac:dyDescent="0.25">
      <c r="L1417" s="71"/>
      <c r="N1417" t="str">
        <f>IFERROR(IF(VLOOKUP(Tb_Activiteiten[[#This Row],[Openstelling]],Tb_Openstelling[],2,0)=1,1,""),"")</f>
        <v/>
      </c>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2:40" x14ac:dyDescent="0.25">
      <c r="L1418" s="71"/>
      <c r="N1418" t="str">
        <f>IFERROR(IF(VLOOKUP(Tb_Activiteiten[[#This Row],[Openstelling]],Tb_Openstelling[],2,0)=1,1,""),"")</f>
        <v/>
      </c>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2:40" x14ac:dyDescent="0.25">
      <c r="L1419" s="71"/>
      <c r="N1419" t="str">
        <f>IFERROR(IF(VLOOKUP(Tb_Activiteiten[[#This Row],[Openstelling]],Tb_Openstelling[],2,0)=1,1,""),"")</f>
        <v/>
      </c>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2:40" x14ac:dyDescent="0.25">
      <c r="L1420" s="71"/>
      <c r="N1420" t="str">
        <f>IFERROR(IF(VLOOKUP(Tb_Activiteiten[[#This Row],[Openstelling]],Tb_Openstelling[],2,0)=1,1,""),"")</f>
        <v/>
      </c>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2:40" x14ac:dyDescent="0.25">
      <c r="L1421" s="71"/>
      <c r="N1421" t="str">
        <f>IFERROR(IF(VLOOKUP(Tb_Activiteiten[[#This Row],[Openstelling]],Tb_Openstelling[],2,0)=1,1,""),"")</f>
        <v/>
      </c>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2:40" x14ac:dyDescent="0.25">
      <c r="L1422" s="71"/>
      <c r="N1422" t="str">
        <f>IFERROR(IF(VLOOKUP(Tb_Activiteiten[[#This Row],[Openstelling]],Tb_Openstelling[],2,0)=1,1,""),"")</f>
        <v/>
      </c>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2:40" x14ac:dyDescent="0.25">
      <c r="L1423" s="71"/>
      <c r="N1423" t="str">
        <f>IFERROR(IF(VLOOKUP(Tb_Activiteiten[[#This Row],[Openstelling]],Tb_Openstelling[],2,0)=1,1,""),"")</f>
        <v/>
      </c>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2:40" x14ac:dyDescent="0.25">
      <c r="L1424" s="71"/>
      <c r="N1424" t="str">
        <f>IFERROR(IF(VLOOKUP(Tb_Activiteiten[[#This Row],[Openstelling]],Tb_Openstelling[],2,0)=1,1,""),"")</f>
        <v/>
      </c>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2:40" x14ac:dyDescent="0.25">
      <c r="L1425" s="71"/>
      <c r="N1425" t="str">
        <f>IFERROR(IF(VLOOKUP(Tb_Activiteiten[[#This Row],[Openstelling]],Tb_Openstelling[],2,0)=1,1,""),"")</f>
        <v/>
      </c>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2:40" x14ac:dyDescent="0.25">
      <c r="L1426" s="71"/>
      <c r="N1426" t="str">
        <f>IFERROR(IF(VLOOKUP(Tb_Activiteiten[[#This Row],[Openstelling]],Tb_Openstelling[],2,0)=1,1,""),"")</f>
        <v/>
      </c>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2:40" x14ac:dyDescent="0.25">
      <c r="L1427" s="71"/>
      <c r="N1427" t="str">
        <f>IFERROR(IF(VLOOKUP(Tb_Activiteiten[[#This Row],[Openstelling]],Tb_Openstelling[],2,0)=1,1,""),"")</f>
        <v/>
      </c>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2:40" x14ac:dyDescent="0.25">
      <c r="L1428" s="71"/>
      <c r="N1428" t="str">
        <f>IFERROR(IF(VLOOKUP(Tb_Activiteiten[[#This Row],[Openstelling]],Tb_Openstelling[],2,0)=1,1,""),"")</f>
        <v/>
      </c>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2:40" x14ac:dyDescent="0.25">
      <c r="L1429" s="71"/>
      <c r="N1429" t="str">
        <f>IFERROR(IF(VLOOKUP(Tb_Activiteiten[[#This Row],[Openstelling]],Tb_Openstelling[],2,0)=1,1,""),"")</f>
        <v/>
      </c>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2:40" x14ac:dyDescent="0.25">
      <c r="L1430" s="71"/>
      <c r="N1430" t="str">
        <f>IFERROR(IF(VLOOKUP(Tb_Activiteiten[[#This Row],[Openstelling]],Tb_Openstelling[],2,0)=1,1,""),"")</f>
        <v/>
      </c>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2:40" x14ac:dyDescent="0.25">
      <c r="L1431" s="71"/>
      <c r="N1431" t="str">
        <f>IFERROR(IF(VLOOKUP(Tb_Activiteiten[[#This Row],[Openstelling]],Tb_Openstelling[],2,0)=1,1,""),"")</f>
        <v/>
      </c>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2:40" x14ac:dyDescent="0.25">
      <c r="L1432" s="71"/>
      <c r="N1432" t="str">
        <f>IFERROR(IF(VLOOKUP(Tb_Activiteiten[[#This Row],[Openstelling]],Tb_Openstelling[],2,0)=1,1,""),"")</f>
        <v/>
      </c>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2:40" x14ac:dyDescent="0.25">
      <c r="L1433" s="71"/>
      <c r="N1433" t="str">
        <f>IFERROR(IF(VLOOKUP(Tb_Activiteiten[[#This Row],[Openstelling]],Tb_Openstelling[],2,0)=1,1,""),"")</f>
        <v/>
      </c>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2:40" x14ac:dyDescent="0.25">
      <c r="L1434" s="71"/>
      <c r="N1434" t="str">
        <f>IFERROR(IF(VLOOKUP(Tb_Activiteiten[[#This Row],[Openstelling]],Tb_Openstelling[],2,0)=1,1,""),"")</f>
        <v/>
      </c>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2:40" x14ac:dyDescent="0.25">
      <c r="L1435" s="71"/>
      <c r="N1435" t="str">
        <f>IFERROR(IF(VLOOKUP(Tb_Activiteiten[[#This Row],[Openstelling]],Tb_Openstelling[],2,0)=1,1,""),"")</f>
        <v/>
      </c>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2:40" x14ac:dyDescent="0.25">
      <c r="L1436" s="71"/>
      <c r="N1436" t="str">
        <f>IFERROR(IF(VLOOKUP(Tb_Activiteiten[[#This Row],[Openstelling]],Tb_Openstelling[],2,0)=1,1,""),"")</f>
        <v/>
      </c>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2:40" x14ac:dyDescent="0.25">
      <c r="L1437" s="71"/>
      <c r="N1437" t="str">
        <f>IFERROR(IF(VLOOKUP(Tb_Activiteiten[[#This Row],[Openstelling]],Tb_Openstelling[],2,0)=1,1,""),"")</f>
        <v/>
      </c>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2:40" x14ac:dyDescent="0.25">
      <c r="L1438" s="71"/>
      <c r="N1438" t="str">
        <f>IFERROR(IF(VLOOKUP(Tb_Activiteiten[[#This Row],[Openstelling]],Tb_Openstelling[],2,0)=1,1,""),"")</f>
        <v/>
      </c>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2:40" x14ac:dyDescent="0.25">
      <c r="L1439" s="71"/>
      <c r="N1439" t="str">
        <f>IFERROR(IF(VLOOKUP(Tb_Activiteiten[[#This Row],[Openstelling]],Tb_Openstelling[],2,0)=1,1,""),"")</f>
        <v/>
      </c>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2:40" x14ac:dyDescent="0.25">
      <c r="L1440" s="71"/>
      <c r="N1440" t="str">
        <f>IFERROR(IF(VLOOKUP(Tb_Activiteiten[[#This Row],[Openstelling]],Tb_Openstelling[],2,0)=1,1,""),"")</f>
        <v/>
      </c>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2:40" x14ac:dyDescent="0.25">
      <c r="L1441" s="71"/>
      <c r="N1441" t="str">
        <f>IFERROR(IF(VLOOKUP(Tb_Activiteiten[[#This Row],[Openstelling]],Tb_Openstelling[],2,0)=1,1,""),"")</f>
        <v/>
      </c>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2:40" x14ac:dyDescent="0.25">
      <c r="L1442" s="71"/>
      <c r="N1442" t="str">
        <f>IFERROR(IF(VLOOKUP(Tb_Activiteiten[[#This Row],[Openstelling]],Tb_Openstelling[],2,0)=1,1,""),"")</f>
        <v/>
      </c>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2:40" x14ac:dyDescent="0.25">
      <c r="L1443" s="71"/>
      <c r="N1443" t="str">
        <f>IFERROR(IF(VLOOKUP(Tb_Activiteiten[[#This Row],[Openstelling]],Tb_Openstelling[],2,0)=1,1,""),"")</f>
        <v/>
      </c>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2:40" x14ac:dyDescent="0.25">
      <c r="L1444" s="71"/>
      <c r="N1444" t="str">
        <f>IFERROR(IF(VLOOKUP(Tb_Activiteiten[[#This Row],[Openstelling]],Tb_Openstelling[],2,0)=1,1,""),"")</f>
        <v/>
      </c>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2:40" x14ac:dyDescent="0.25">
      <c r="L1445" s="71"/>
      <c r="N1445" t="str">
        <f>IFERROR(IF(VLOOKUP(Tb_Activiteiten[[#This Row],[Openstelling]],Tb_Openstelling[],2,0)=1,1,""),"")</f>
        <v/>
      </c>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2:40" x14ac:dyDescent="0.25">
      <c r="L1446" s="71"/>
      <c r="N1446" t="str">
        <f>IFERROR(IF(VLOOKUP(Tb_Activiteiten[[#This Row],[Openstelling]],Tb_Openstelling[],2,0)=1,1,""),"")</f>
        <v/>
      </c>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2:40" x14ac:dyDescent="0.25">
      <c r="L1447" s="71"/>
      <c r="N1447" t="str">
        <f>IFERROR(IF(VLOOKUP(Tb_Activiteiten[[#This Row],[Openstelling]],Tb_Openstelling[],2,0)=1,1,""),"")</f>
        <v/>
      </c>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2:40" x14ac:dyDescent="0.25">
      <c r="L1448" s="71"/>
      <c r="N1448" t="str">
        <f>IFERROR(IF(VLOOKUP(Tb_Activiteiten[[#This Row],[Openstelling]],Tb_Openstelling[],2,0)=1,1,""),"")</f>
        <v/>
      </c>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2:40" x14ac:dyDescent="0.25">
      <c r="L1449" s="71"/>
      <c r="N1449" t="str">
        <f>IFERROR(IF(VLOOKUP(Tb_Activiteiten[[#This Row],[Openstelling]],Tb_Openstelling[],2,0)=1,1,""),"")</f>
        <v/>
      </c>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2:40" x14ac:dyDescent="0.25">
      <c r="L1450" s="71"/>
      <c r="N1450" t="str">
        <f>IFERROR(IF(VLOOKUP(Tb_Activiteiten[[#This Row],[Openstelling]],Tb_Openstelling[],2,0)=1,1,""),"")</f>
        <v/>
      </c>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2:40" x14ac:dyDescent="0.25">
      <c r="L1451" s="71"/>
      <c r="N1451" t="str">
        <f>IFERROR(IF(VLOOKUP(Tb_Activiteiten[[#This Row],[Openstelling]],Tb_Openstelling[],2,0)=1,1,""),"")</f>
        <v/>
      </c>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2:40" x14ac:dyDescent="0.25">
      <c r="L1452" s="71"/>
      <c r="N1452" t="str">
        <f>IFERROR(IF(VLOOKUP(Tb_Activiteiten[[#This Row],[Openstelling]],Tb_Openstelling[],2,0)=1,1,""),"")</f>
        <v/>
      </c>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2:40" x14ac:dyDescent="0.25">
      <c r="L1453" s="71"/>
      <c r="N1453" t="str">
        <f>IFERROR(IF(VLOOKUP(Tb_Activiteiten[[#This Row],[Openstelling]],Tb_Openstelling[],2,0)=1,1,""),"")</f>
        <v/>
      </c>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2:40" x14ac:dyDescent="0.25">
      <c r="L1454" s="71"/>
      <c r="N1454" t="str">
        <f>IFERROR(IF(VLOOKUP(Tb_Activiteiten[[#This Row],[Openstelling]],Tb_Openstelling[],2,0)=1,1,""),"")</f>
        <v/>
      </c>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2:40" x14ac:dyDescent="0.25">
      <c r="L1455" s="71"/>
      <c r="N1455" t="str">
        <f>IFERROR(IF(VLOOKUP(Tb_Activiteiten[[#This Row],[Openstelling]],Tb_Openstelling[],2,0)=1,1,""),"")</f>
        <v/>
      </c>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2:40" x14ac:dyDescent="0.25">
      <c r="L1456" s="71"/>
      <c r="N1456" t="str">
        <f>IFERROR(IF(VLOOKUP(Tb_Activiteiten[[#This Row],[Openstelling]],Tb_Openstelling[],2,0)=1,1,""),"")</f>
        <v/>
      </c>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2:40" x14ac:dyDescent="0.25">
      <c r="L1457" s="71"/>
      <c r="N1457" t="str">
        <f>IFERROR(IF(VLOOKUP(Tb_Activiteiten[[#This Row],[Openstelling]],Tb_Openstelling[],2,0)=1,1,""),"")</f>
        <v/>
      </c>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2:40" x14ac:dyDescent="0.25">
      <c r="L1458" s="71"/>
      <c r="N1458" t="str">
        <f>IFERROR(IF(VLOOKUP(Tb_Activiteiten[[#This Row],[Openstelling]],Tb_Openstelling[],2,0)=1,1,""),"")</f>
        <v/>
      </c>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2:40" x14ac:dyDescent="0.25">
      <c r="L1459" s="71"/>
      <c r="N1459" t="str">
        <f>IFERROR(IF(VLOOKUP(Tb_Activiteiten[[#This Row],[Openstelling]],Tb_Openstelling[],2,0)=1,1,""),"")</f>
        <v/>
      </c>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2:40" x14ac:dyDescent="0.25">
      <c r="L1460" s="71"/>
      <c r="N1460" t="str">
        <f>IFERROR(IF(VLOOKUP(Tb_Activiteiten[[#This Row],[Openstelling]],Tb_Openstelling[],2,0)=1,1,""),"")</f>
        <v/>
      </c>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2:40" x14ac:dyDescent="0.25">
      <c r="L1461" s="71"/>
      <c r="N1461" t="str">
        <f>IFERROR(IF(VLOOKUP(Tb_Activiteiten[[#This Row],[Openstelling]],Tb_Openstelling[],2,0)=1,1,""),"")</f>
        <v/>
      </c>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2:40" x14ac:dyDescent="0.25">
      <c r="L1462" s="71"/>
      <c r="N1462" t="str">
        <f>IFERROR(IF(VLOOKUP(Tb_Activiteiten[[#This Row],[Openstelling]],Tb_Openstelling[],2,0)=1,1,""),"")</f>
        <v/>
      </c>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2:40" x14ac:dyDescent="0.25">
      <c r="L1463" s="71"/>
      <c r="N1463" t="str">
        <f>IFERROR(IF(VLOOKUP(Tb_Activiteiten[[#This Row],[Openstelling]],Tb_Openstelling[],2,0)=1,1,""),"")</f>
        <v/>
      </c>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2:40" x14ac:dyDescent="0.25">
      <c r="L1464" s="71"/>
      <c r="N1464" t="str">
        <f>IFERROR(IF(VLOOKUP(Tb_Activiteiten[[#This Row],[Openstelling]],Tb_Openstelling[],2,0)=1,1,""),"")</f>
        <v/>
      </c>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2:40" x14ac:dyDescent="0.25">
      <c r="L1465" s="71"/>
      <c r="N1465" t="str">
        <f>IFERROR(IF(VLOOKUP(Tb_Activiteiten[[#This Row],[Openstelling]],Tb_Openstelling[],2,0)=1,1,""),"")</f>
        <v/>
      </c>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2:40" x14ac:dyDescent="0.25">
      <c r="L1466" s="71"/>
      <c r="N1466" t="str">
        <f>IFERROR(IF(VLOOKUP(Tb_Activiteiten[[#This Row],[Openstelling]],Tb_Openstelling[],2,0)=1,1,""),"")</f>
        <v/>
      </c>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2:40" x14ac:dyDescent="0.25">
      <c r="L1467" s="71"/>
      <c r="N1467" t="str">
        <f>IFERROR(IF(VLOOKUP(Tb_Activiteiten[[#This Row],[Openstelling]],Tb_Openstelling[],2,0)=1,1,""),"")</f>
        <v/>
      </c>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2:40" x14ac:dyDescent="0.25">
      <c r="L1468" s="71"/>
      <c r="N1468" t="str">
        <f>IFERROR(IF(VLOOKUP(Tb_Activiteiten[[#This Row],[Openstelling]],Tb_Openstelling[],2,0)=1,1,""),"")</f>
        <v/>
      </c>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2:40" x14ac:dyDescent="0.25">
      <c r="L1469" s="71"/>
      <c r="N1469" t="str">
        <f>IFERROR(IF(VLOOKUP(Tb_Activiteiten[[#This Row],[Openstelling]],Tb_Openstelling[],2,0)=1,1,""),"")</f>
        <v/>
      </c>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2:40" x14ac:dyDescent="0.25">
      <c r="L1470" s="71"/>
      <c r="N1470" t="str">
        <f>IFERROR(IF(VLOOKUP(Tb_Activiteiten[[#This Row],[Openstelling]],Tb_Openstelling[],2,0)=1,1,""),"")</f>
        <v/>
      </c>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2:40" x14ac:dyDescent="0.25">
      <c r="L1471" s="71"/>
      <c r="N1471" t="str">
        <f>IFERROR(IF(VLOOKUP(Tb_Activiteiten[[#This Row],[Openstelling]],Tb_Openstelling[],2,0)=1,1,""),"")</f>
        <v/>
      </c>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2:40" x14ac:dyDescent="0.25">
      <c r="L1472" s="71"/>
      <c r="N1472" t="str">
        <f>IFERROR(IF(VLOOKUP(Tb_Activiteiten[[#This Row],[Openstelling]],Tb_Openstelling[],2,0)=1,1,""),"")</f>
        <v/>
      </c>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2:40" x14ac:dyDescent="0.25">
      <c r="L1473" s="71"/>
      <c r="N1473" t="str">
        <f>IFERROR(IF(VLOOKUP(Tb_Activiteiten[[#This Row],[Openstelling]],Tb_Openstelling[],2,0)=1,1,""),"")</f>
        <v/>
      </c>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2:40" x14ac:dyDescent="0.25">
      <c r="L1474" s="71"/>
      <c r="N1474" t="str">
        <f>IFERROR(IF(VLOOKUP(Tb_Activiteiten[[#This Row],[Openstelling]],Tb_Openstelling[],2,0)=1,1,""),"")</f>
        <v/>
      </c>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2:40" x14ac:dyDescent="0.25">
      <c r="L1475" s="71"/>
      <c r="N1475" t="str">
        <f>IFERROR(IF(VLOOKUP(Tb_Activiteiten[[#This Row],[Openstelling]],Tb_Openstelling[],2,0)=1,1,""),"")</f>
        <v/>
      </c>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2:40" x14ac:dyDescent="0.25">
      <c r="L1476" s="71"/>
      <c r="N1476" t="str">
        <f>IFERROR(IF(VLOOKUP(Tb_Activiteiten[[#This Row],[Openstelling]],Tb_Openstelling[],2,0)=1,1,""),"")</f>
        <v/>
      </c>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2:40" x14ac:dyDescent="0.25">
      <c r="L1477" s="71"/>
      <c r="N1477" t="str">
        <f>IFERROR(IF(VLOOKUP(Tb_Activiteiten[[#This Row],[Openstelling]],Tb_Openstelling[],2,0)=1,1,""),"")</f>
        <v/>
      </c>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2:40" x14ac:dyDescent="0.25">
      <c r="L1478" s="71"/>
      <c r="N1478" t="str">
        <f>IFERROR(IF(VLOOKUP(Tb_Activiteiten[[#This Row],[Openstelling]],Tb_Openstelling[],2,0)=1,1,""),"")</f>
        <v/>
      </c>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2:40" x14ac:dyDescent="0.25">
      <c r="L1479" s="71"/>
      <c r="N1479" t="str">
        <f>IFERROR(IF(VLOOKUP(Tb_Activiteiten[[#This Row],[Openstelling]],Tb_Openstelling[],2,0)=1,1,""),"")</f>
        <v/>
      </c>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2:40" x14ac:dyDescent="0.25">
      <c r="L1480" s="71"/>
      <c r="N1480" t="str">
        <f>IFERROR(IF(VLOOKUP(Tb_Activiteiten[[#This Row],[Openstelling]],Tb_Openstelling[],2,0)=1,1,""),"")</f>
        <v/>
      </c>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2:40" x14ac:dyDescent="0.25">
      <c r="L1481" s="71"/>
      <c r="N1481" t="str">
        <f>IFERROR(IF(VLOOKUP(Tb_Activiteiten[[#This Row],[Openstelling]],Tb_Openstelling[],2,0)=1,1,""),"")</f>
        <v/>
      </c>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2:40" x14ac:dyDescent="0.25">
      <c r="L1482" s="71"/>
      <c r="N1482" t="str">
        <f>IFERROR(IF(VLOOKUP(Tb_Activiteiten[[#This Row],[Openstelling]],Tb_Openstelling[],2,0)=1,1,""),"")</f>
        <v/>
      </c>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2:40" x14ac:dyDescent="0.25">
      <c r="L1483" s="71"/>
      <c r="N1483" t="str">
        <f>IFERROR(IF(VLOOKUP(Tb_Activiteiten[[#This Row],[Openstelling]],Tb_Openstelling[],2,0)=1,1,""),"")</f>
        <v/>
      </c>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2:40" x14ac:dyDescent="0.25">
      <c r="L1484" s="71"/>
      <c r="N1484" t="str">
        <f>IFERROR(IF(VLOOKUP(Tb_Activiteiten[[#This Row],[Openstelling]],Tb_Openstelling[],2,0)=1,1,""),"")</f>
        <v/>
      </c>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2:40" x14ac:dyDescent="0.25">
      <c r="L1485" s="71"/>
      <c r="N1485" t="str">
        <f>IFERROR(IF(VLOOKUP(Tb_Activiteiten[[#This Row],[Openstelling]],Tb_Openstelling[],2,0)=1,1,""),"")</f>
        <v/>
      </c>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2:40" x14ac:dyDescent="0.25">
      <c r="L1486" s="71"/>
      <c r="N1486" t="str">
        <f>IFERROR(IF(VLOOKUP(Tb_Activiteiten[[#This Row],[Openstelling]],Tb_Openstelling[],2,0)=1,1,""),"")</f>
        <v/>
      </c>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2:40" x14ac:dyDescent="0.25">
      <c r="L1487" s="71"/>
      <c r="N1487" t="str">
        <f>IFERROR(IF(VLOOKUP(Tb_Activiteiten[[#This Row],[Openstelling]],Tb_Openstelling[],2,0)=1,1,""),"")</f>
        <v/>
      </c>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2:40" x14ac:dyDescent="0.25">
      <c r="L1488" s="71"/>
      <c r="N1488" t="str">
        <f>IFERROR(IF(VLOOKUP(Tb_Activiteiten[[#This Row],[Openstelling]],Tb_Openstelling[],2,0)=1,1,""),"")</f>
        <v/>
      </c>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25">
      <c r="L1489" s="71"/>
      <c r="N1489" t="str">
        <f>IFERROR(IF(VLOOKUP(Tb_Activiteiten[[#This Row],[Openstelling]],Tb_Openstelling[],2,0)=1,1,""),"")</f>
        <v/>
      </c>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25">
      <c r="L1490" s="71"/>
      <c r="N1490" t="str">
        <f>IFERROR(IF(VLOOKUP(Tb_Activiteiten[[#This Row],[Openstelling]],Tb_Openstelling[],2,0)=1,1,""),"")</f>
        <v/>
      </c>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25">
      <c r="L1491" s="71"/>
      <c r="N1491" t="str">
        <f>IFERROR(IF(VLOOKUP(Tb_Activiteiten[[#This Row],[Openstelling]],Tb_Openstelling[],2,0)=1,1,""),"")</f>
        <v/>
      </c>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25">
      <c r="L1492" s="71"/>
      <c r="N1492" t="str">
        <f>IFERROR(IF(VLOOKUP(Tb_Activiteiten[[#This Row],[Openstelling]],Tb_Openstelling[],2,0)=1,1,""),"")</f>
        <v/>
      </c>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25">
      <c r="L1493" s="71"/>
      <c r="N1493" t="str">
        <f>IFERROR(IF(VLOOKUP(Tb_Activiteiten[[#This Row],[Openstelling]],Tb_Openstelling[],2,0)=1,1,""),"")</f>
        <v/>
      </c>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25">
      <c r="L1494" s="71"/>
      <c r="N1494" t="str">
        <f>IFERROR(IF(VLOOKUP(Tb_Activiteiten[[#This Row],[Openstelling]],Tb_Openstelling[],2,0)=1,1,""),"")</f>
        <v/>
      </c>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25">
      <c r="L1495" s="71"/>
      <c r="N1495" t="str">
        <f>IFERROR(IF(VLOOKUP(Tb_Activiteiten[[#This Row],[Openstelling]],Tb_Openstelling[],2,0)=1,1,""),"")</f>
        <v/>
      </c>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25">
      <c r="L1496" s="71"/>
      <c r="N1496" t="str">
        <f>IFERROR(IF(VLOOKUP(Tb_Activiteiten[[#This Row],[Openstelling]],Tb_Openstelling[],2,0)=1,1,""),"")</f>
        <v/>
      </c>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25">
      <c r="L1497" s="71"/>
      <c r="N1497" t="str">
        <f>IFERROR(IF(VLOOKUP(Tb_Activiteiten[[#This Row],[Openstelling]],Tb_Openstelling[],2,0)=1,1,""),"")</f>
        <v/>
      </c>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25">
      <c r="L1498" s="71"/>
      <c r="N1498" t="str">
        <f>IFERROR(IF(VLOOKUP(Tb_Activiteiten[[#This Row],[Openstelling]],Tb_Openstelling[],2,0)=1,1,""),"")</f>
        <v/>
      </c>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25">
      <c r="L1499" s="71"/>
      <c r="N1499" t="str">
        <f>IFERROR(IF(VLOOKUP(Tb_Activiteiten[[#This Row],[Openstelling]],Tb_Openstelling[],2,0)=1,1,""),"")</f>
        <v/>
      </c>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25">
      <c r="L1500" s="71"/>
      <c r="N1500" t="str">
        <f>IFERROR(IF(VLOOKUP(Tb_Activiteiten[[#This Row],[Openstelling]],Tb_Openstelling[],2,0)=1,1,""),"")</f>
        <v/>
      </c>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25">
      <c r="J1501" s="190"/>
      <c r="K1501" s="190"/>
      <c r="L1501" s="190"/>
      <c r="M1501" s="190"/>
      <c r="O1501" s="190"/>
      <c r="P1501" s="190"/>
      <c r="Q1501" s="190"/>
      <c r="R1501" s="190"/>
      <c r="S1501" s="190"/>
      <c r="T1501" s="190"/>
      <c r="U1501" s="190"/>
      <c r="V1501" s="190"/>
      <c r="W1501" s="190"/>
      <c r="X1501" s="190"/>
      <c r="Y1501" s="190"/>
      <c r="Z1501" s="190"/>
      <c r="AA1501" s="190"/>
    </row>
    <row r="1502" spans="10:40" x14ac:dyDescent="0.25">
      <c r="J1502" s="190"/>
      <c r="K1502" s="190"/>
      <c r="L1502" s="190"/>
      <c r="M1502" s="190"/>
      <c r="O1502" s="190"/>
      <c r="P1502" s="190"/>
      <c r="Q1502" s="190"/>
      <c r="R1502" s="190"/>
      <c r="S1502" s="190"/>
      <c r="T1502" s="190"/>
      <c r="U1502" s="190"/>
      <c r="V1502" s="190"/>
      <c r="W1502" s="190"/>
      <c r="X1502" s="190"/>
      <c r="Y1502" s="190"/>
      <c r="Z1502" s="190"/>
      <c r="AA1502" s="190"/>
    </row>
    <row r="1503" spans="10:40" x14ac:dyDescent="0.25">
      <c r="J1503" s="190"/>
      <c r="K1503" s="190"/>
      <c r="L1503" s="190"/>
      <c r="M1503" s="190"/>
      <c r="O1503" s="190"/>
      <c r="P1503" s="190"/>
      <c r="Q1503" s="190"/>
      <c r="R1503" s="190"/>
      <c r="S1503" s="190"/>
      <c r="T1503" s="190"/>
      <c r="U1503" s="190"/>
      <c r="V1503" s="190"/>
      <c r="W1503" s="190"/>
      <c r="X1503" s="190"/>
      <c r="Y1503" s="190"/>
      <c r="Z1503" s="190"/>
      <c r="AA1503" s="190"/>
    </row>
    <row r="1504" spans="10:40" x14ac:dyDescent="0.25">
      <c r="J1504" s="190"/>
      <c r="K1504" s="190"/>
      <c r="L1504" s="190"/>
      <c r="M1504" s="190"/>
      <c r="O1504" s="190"/>
      <c r="P1504" s="190"/>
      <c r="Q1504" s="190"/>
      <c r="R1504" s="190"/>
      <c r="S1504" s="190"/>
      <c r="T1504" s="190"/>
      <c r="U1504" s="190"/>
      <c r="V1504" s="190"/>
      <c r="W1504" s="190"/>
      <c r="X1504" s="190"/>
      <c r="Y1504" s="190"/>
      <c r="Z1504" s="190"/>
      <c r="AA1504" s="190"/>
    </row>
    <row r="1505" spans="10:27" x14ac:dyDescent="0.25">
      <c r="J1505" s="190"/>
      <c r="K1505" s="190"/>
      <c r="L1505" s="190"/>
      <c r="M1505" s="190"/>
      <c r="O1505" s="190"/>
      <c r="P1505" s="190"/>
      <c r="Q1505" s="190"/>
      <c r="R1505" s="190"/>
      <c r="S1505" s="190"/>
      <c r="T1505" s="190"/>
      <c r="U1505" s="190"/>
      <c r="V1505" s="190"/>
      <c r="W1505" s="190"/>
      <c r="X1505" s="190"/>
      <c r="Y1505" s="190"/>
      <c r="Z1505" s="190"/>
      <c r="AA1505" s="190"/>
    </row>
    <row r="1506" spans="10:27" x14ac:dyDescent="0.25">
      <c r="J1506" s="190"/>
      <c r="K1506" s="190"/>
      <c r="L1506" s="190"/>
      <c r="M1506" s="190"/>
      <c r="O1506" s="190"/>
      <c r="P1506" s="190"/>
      <c r="Q1506" s="190"/>
      <c r="R1506" s="190"/>
      <c r="S1506" s="190"/>
      <c r="T1506" s="190"/>
      <c r="U1506" s="190"/>
      <c r="V1506" s="190"/>
      <c r="W1506" s="190"/>
      <c r="X1506" s="190"/>
      <c r="Y1506" s="190"/>
      <c r="Z1506" s="190"/>
      <c r="AA1506" s="190"/>
    </row>
    <row r="1507" spans="10:27" x14ac:dyDescent="0.25">
      <c r="J1507" s="190"/>
      <c r="K1507" s="190"/>
      <c r="L1507" s="190"/>
      <c r="M1507" s="190"/>
      <c r="O1507" s="190"/>
      <c r="P1507" s="190"/>
      <c r="Q1507" s="190"/>
      <c r="R1507" s="190"/>
      <c r="S1507" s="190"/>
      <c r="T1507" s="190"/>
      <c r="U1507" s="190"/>
      <c r="V1507" s="190"/>
      <c r="W1507" s="190"/>
      <c r="X1507" s="190"/>
      <c r="Y1507" s="190"/>
      <c r="Z1507" s="190"/>
      <c r="AA1507" s="190"/>
    </row>
    <row r="1508" spans="10:27" x14ac:dyDescent="0.25">
      <c r="J1508" s="190"/>
      <c r="K1508" s="190"/>
      <c r="L1508" s="190"/>
      <c r="M1508" s="190"/>
      <c r="O1508" s="190"/>
      <c r="P1508" s="190"/>
      <c r="Q1508" s="190"/>
      <c r="R1508" s="190"/>
      <c r="S1508" s="190"/>
      <c r="T1508" s="190"/>
      <c r="U1508" s="190"/>
      <c r="V1508" s="190"/>
      <c r="W1508" s="190"/>
      <c r="X1508" s="190"/>
      <c r="Y1508" s="190"/>
      <c r="Z1508" s="190"/>
      <c r="AA1508" s="190"/>
    </row>
    <row r="1509" spans="10:27" x14ac:dyDescent="0.25">
      <c r="J1509" s="190"/>
      <c r="K1509" s="190"/>
      <c r="L1509" s="190"/>
      <c r="M1509" s="190"/>
      <c r="O1509" s="190"/>
      <c r="P1509" s="190"/>
      <c r="Q1509" s="190"/>
      <c r="R1509" s="190"/>
      <c r="S1509" s="190"/>
      <c r="T1509" s="190"/>
      <c r="U1509" s="190"/>
      <c r="V1509" s="190"/>
      <c r="W1509" s="190"/>
      <c r="X1509" s="190"/>
      <c r="Y1509" s="190"/>
      <c r="Z1509" s="190"/>
      <c r="AA1509" s="190"/>
    </row>
    <row r="1510" spans="10:27" x14ac:dyDescent="0.25">
      <c r="J1510" s="190"/>
      <c r="K1510" s="190"/>
      <c r="L1510" s="190"/>
      <c r="M1510" s="190"/>
      <c r="O1510" s="190"/>
      <c r="P1510" s="190"/>
      <c r="Q1510" s="190"/>
      <c r="R1510" s="190"/>
      <c r="S1510" s="190"/>
      <c r="T1510" s="190"/>
      <c r="U1510" s="190"/>
      <c r="V1510" s="190"/>
      <c r="W1510" s="190"/>
      <c r="X1510" s="190"/>
      <c r="Y1510" s="190"/>
      <c r="Z1510" s="190"/>
      <c r="AA1510" s="190"/>
    </row>
    <row r="1511" spans="10:27" x14ac:dyDescent="0.25">
      <c r="J1511" s="190"/>
      <c r="K1511" s="190"/>
      <c r="L1511" s="190"/>
      <c r="M1511" s="190"/>
      <c r="O1511" s="190"/>
      <c r="P1511" s="190"/>
      <c r="Q1511" s="190"/>
      <c r="R1511" s="190"/>
      <c r="S1511" s="190"/>
      <c r="T1511" s="190"/>
      <c r="U1511" s="190"/>
      <c r="V1511" s="190"/>
      <c r="W1511" s="190"/>
      <c r="X1511" s="190"/>
      <c r="Y1511" s="190"/>
      <c r="Z1511" s="190"/>
      <c r="AA1511" s="190"/>
    </row>
    <row r="1512" spans="10:27" x14ac:dyDescent="0.25">
      <c r="J1512" s="190"/>
      <c r="K1512" s="190"/>
      <c r="L1512" s="190"/>
      <c r="M1512" s="190"/>
      <c r="O1512" s="190"/>
      <c r="P1512" s="190"/>
      <c r="Q1512" s="190"/>
      <c r="R1512" s="190"/>
      <c r="S1512" s="190"/>
      <c r="T1512" s="190"/>
      <c r="U1512" s="190"/>
      <c r="V1512" s="190"/>
      <c r="W1512" s="190"/>
      <c r="X1512" s="190"/>
      <c r="Y1512" s="190"/>
      <c r="Z1512" s="190"/>
      <c r="AA1512" s="190"/>
    </row>
    <row r="1513" spans="10:27" x14ac:dyDescent="0.25">
      <c r="J1513" s="190"/>
      <c r="K1513" s="190"/>
      <c r="L1513" s="190"/>
      <c r="M1513" s="190"/>
      <c r="O1513" s="190"/>
      <c r="P1513" s="190"/>
      <c r="Q1513" s="190"/>
      <c r="R1513" s="190"/>
      <c r="S1513" s="190"/>
      <c r="T1513" s="190"/>
      <c r="U1513" s="190"/>
      <c r="V1513" s="190"/>
      <c r="W1513" s="190"/>
      <c r="X1513" s="190"/>
      <c r="Y1513" s="190"/>
      <c r="Z1513" s="190"/>
      <c r="AA1513" s="190"/>
    </row>
    <row r="1514" spans="10:27" x14ac:dyDescent="0.25">
      <c r="J1514" s="190"/>
      <c r="K1514" s="190"/>
      <c r="L1514" s="190"/>
      <c r="M1514" s="190"/>
      <c r="O1514" s="190"/>
      <c r="P1514" s="190"/>
      <c r="Q1514" s="190"/>
      <c r="R1514" s="190"/>
      <c r="S1514" s="190"/>
      <c r="T1514" s="190"/>
      <c r="U1514" s="190"/>
      <c r="V1514" s="190"/>
      <c r="W1514" s="190"/>
      <c r="X1514" s="190"/>
      <c r="Y1514" s="190"/>
      <c r="Z1514" s="190"/>
      <c r="AA1514" s="190"/>
    </row>
    <row r="1515" spans="10:27" x14ac:dyDescent="0.25">
      <c r="J1515" s="190"/>
      <c r="K1515" s="190"/>
      <c r="L1515" s="190"/>
      <c r="M1515" s="190"/>
      <c r="O1515" s="190"/>
      <c r="P1515" s="190"/>
      <c r="Q1515" s="190"/>
      <c r="R1515" s="190"/>
      <c r="S1515" s="190"/>
      <c r="T1515" s="190"/>
      <c r="U1515" s="190"/>
      <c r="V1515" s="190"/>
      <c r="W1515" s="190"/>
      <c r="X1515" s="190"/>
      <c r="Y1515" s="190"/>
      <c r="Z1515" s="190"/>
      <c r="AA1515" s="190"/>
    </row>
    <row r="1516" spans="10:27" x14ac:dyDescent="0.25">
      <c r="J1516" s="190"/>
      <c r="K1516" s="190"/>
      <c r="L1516" s="190"/>
      <c r="M1516" s="190"/>
      <c r="O1516" s="190"/>
      <c r="P1516" s="190"/>
      <c r="Q1516" s="190"/>
      <c r="R1516" s="190"/>
      <c r="S1516" s="190"/>
      <c r="T1516" s="190"/>
      <c r="U1516" s="190"/>
      <c r="V1516" s="190"/>
      <c r="W1516" s="190"/>
      <c r="X1516" s="190"/>
      <c r="Y1516" s="190"/>
      <c r="Z1516" s="190"/>
      <c r="AA1516" s="190"/>
    </row>
    <row r="1517" spans="10:27" x14ac:dyDescent="0.25">
      <c r="J1517" s="190"/>
      <c r="K1517" s="190"/>
      <c r="L1517" s="190"/>
      <c r="M1517" s="190"/>
      <c r="O1517" s="190"/>
      <c r="P1517" s="190"/>
      <c r="Q1517" s="190"/>
      <c r="R1517" s="190"/>
      <c r="S1517" s="190"/>
      <c r="T1517" s="190"/>
      <c r="U1517" s="190"/>
      <c r="V1517" s="190"/>
      <c r="W1517" s="190"/>
      <c r="X1517" s="190"/>
      <c r="Y1517" s="190"/>
      <c r="Z1517" s="190"/>
      <c r="AA1517" s="190"/>
    </row>
    <row r="1518" spans="10:27" x14ac:dyDescent="0.25">
      <c r="J1518" s="190"/>
      <c r="K1518" s="190"/>
      <c r="L1518" s="190"/>
      <c r="M1518" s="190"/>
      <c r="O1518" s="190"/>
      <c r="P1518" s="190"/>
      <c r="Q1518" s="190"/>
      <c r="R1518" s="190"/>
      <c r="S1518" s="190"/>
      <c r="T1518" s="190"/>
      <c r="U1518" s="190"/>
      <c r="V1518" s="190"/>
      <c r="W1518" s="190"/>
      <c r="X1518" s="190"/>
      <c r="Y1518" s="190"/>
      <c r="Z1518" s="190"/>
      <c r="AA1518" s="190"/>
    </row>
    <row r="1519" spans="10:27" x14ac:dyDescent="0.25">
      <c r="J1519" s="190"/>
      <c r="K1519" s="190"/>
      <c r="L1519" s="190"/>
      <c r="M1519" s="190"/>
      <c r="O1519" s="190"/>
      <c r="P1519" s="190"/>
      <c r="Q1519" s="190"/>
      <c r="R1519" s="190"/>
      <c r="S1519" s="190"/>
      <c r="T1519" s="190"/>
      <c r="U1519" s="190"/>
      <c r="V1519" s="190"/>
      <c r="W1519" s="190"/>
      <c r="X1519" s="190"/>
      <c r="Y1519" s="190"/>
      <c r="Z1519" s="190"/>
      <c r="AA1519" s="190"/>
    </row>
    <row r="1520" spans="10:27" x14ac:dyDescent="0.25">
      <c r="J1520" s="190"/>
      <c r="K1520" s="190"/>
      <c r="L1520" s="190"/>
      <c r="M1520" s="190"/>
      <c r="O1520" s="190"/>
      <c r="P1520" s="190"/>
      <c r="Q1520" s="190"/>
      <c r="R1520" s="190"/>
      <c r="S1520" s="190"/>
      <c r="T1520" s="190"/>
      <c r="U1520" s="190"/>
      <c r="V1520" s="190"/>
      <c r="W1520" s="190"/>
      <c r="X1520" s="190"/>
      <c r="Y1520" s="190"/>
      <c r="Z1520" s="190"/>
      <c r="AA1520" s="190"/>
    </row>
    <row r="1521" spans="10:27" x14ac:dyDescent="0.25">
      <c r="J1521" s="190"/>
      <c r="K1521" s="190"/>
      <c r="L1521" s="190"/>
      <c r="M1521" s="190"/>
      <c r="O1521" s="190"/>
      <c r="P1521" s="190"/>
      <c r="Q1521" s="190"/>
      <c r="R1521" s="190"/>
      <c r="S1521" s="190"/>
      <c r="T1521" s="190"/>
      <c r="U1521" s="190"/>
      <c r="V1521" s="190"/>
      <c r="W1521" s="190"/>
      <c r="X1521" s="190"/>
      <c r="Y1521" s="190"/>
      <c r="Z1521" s="190"/>
      <c r="AA1521" s="190"/>
    </row>
    <row r="1522" spans="10:27" x14ac:dyDescent="0.25">
      <c r="J1522" s="190"/>
      <c r="K1522" s="190"/>
      <c r="L1522" s="190"/>
      <c r="M1522" s="190"/>
      <c r="O1522" s="190"/>
      <c r="P1522" s="190"/>
      <c r="Q1522" s="190"/>
      <c r="R1522" s="190"/>
      <c r="S1522" s="190"/>
      <c r="T1522" s="190"/>
      <c r="U1522" s="190"/>
      <c r="V1522" s="190"/>
      <c r="W1522" s="190"/>
      <c r="X1522" s="190"/>
      <c r="Y1522" s="190"/>
      <c r="Z1522" s="190"/>
      <c r="AA1522" s="190"/>
    </row>
    <row r="1523" spans="10:27" x14ac:dyDescent="0.25">
      <c r="J1523" s="190"/>
      <c r="K1523" s="190"/>
      <c r="L1523" s="190"/>
      <c r="M1523" s="190"/>
      <c r="O1523" s="190"/>
      <c r="P1523" s="190"/>
      <c r="Q1523" s="190"/>
      <c r="R1523" s="190"/>
      <c r="S1523" s="190"/>
      <c r="T1523" s="190"/>
      <c r="U1523" s="190"/>
      <c r="V1523" s="190"/>
      <c r="W1523" s="190"/>
      <c r="X1523" s="190"/>
      <c r="Y1523" s="190"/>
      <c r="Z1523" s="190"/>
      <c r="AA1523" s="190"/>
    </row>
    <row r="1524" spans="10:27" x14ac:dyDescent="0.25">
      <c r="J1524" s="190"/>
      <c r="K1524" s="190"/>
      <c r="L1524" s="190"/>
      <c r="M1524" s="190"/>
      <c r="O1524" s="190"/>
      <c r="P1524" s="190"/>
      <c r="Q1524" s="190"/>
      <c r="R1524" s="190"/>
      <c r="S1524" s="190"/>
      <c r="T1524" s="190"/>
      <c r="U1524" s="190"/>
      <c r="V1524" s="190"/>
      <c r="W1524" s="190"/>
      <c r="X1524" s="190"/>
      <c r="Y1524" s="190"/>
      <c r="Z1524" s="190"/>
      <c r="AA1524" s="190"/>
    </row>
    <row r="1525" spans="10:27" x14ac:dyDescent="0.25">
      <c r="J1525" s="190"/>
      <c r="K1525" s="190"/>
      <c r="L1525" s="190"/>
      <c r="M1525" s="190"/>
      <c r="O1525" s="190"/>
      <c r="P1525" s="190"/>
      <c r="Q1525" s="190"/>
      <c r="R1525" s="190"/>
      <c r="S1525" s="190"/>
      <c r="T1525" s="190"/>
      <c r="U1525" s="190"/>
      <c r="V1525" s="190"/>
      <c r="W1525" s="190"/>
      <c r="X1525" s="190"/>
      <c r="Y1525" s="190"/>
      <c r="Z1525" s="190"/>
      <c r="AA1525" s="190"/>
    </row>
    <row r="1526" spans="10:27" x14ac:dyDescent="0.25">
      <c r="J1526" s="190"/>
      <c r="K1526" s="190"/>
      <c r="L1526" s="190"/>
      <c r="M1526" s="190"/>
      <c r="O1526" s="190"/>
      <c r="P1526" s="190"/>
      <c r="Q1526" s="190"/>
      <c r="R1526" s="190"/>
      <c r="S1526" s="190"/>
      <c r="T1526" s="190"/>
      <c r="U1526" s="190"/>
      <c r="V1526" s="190"/>
      <c r="W1526" s="190"/>
      <c r="X1526" s="190"/>
      <c r="Y1526" s="190"/>
      <c r="Z1526" s="190"/>
      <c r="AA1526" s="190"/>
    </row>
    <row r="1527" spans="10:27" x14ac:dyDescent="0.25">
      <c r="J1527" s="190"/>
      <c r="K1527" s="190"/>
      <c r="L1527" s="190"/>
      <c r="M1527" s="190"/>
      <c r="O1527" s="190"/>
      <c r="P1527" s="190"/>
      <c r="Q1527" s="190"/>
      <c r="R1527" s="190"/>
      <c r="S1527" s="190"/>
      <c r="T1527" s="190"/>
      <c r="U1527" s="190"/>
      <c r="V1527" s="190"/>
      <c r="W1527" s="190"/>
      <c r="X1527" s="190"/>
      <c r="Y1527" s="190"/>
      <c r="Z1527" s="190"/>
      <c r="AA1527" s="190"/>
    </row>
    <row r="1528" spans="10:27" x14ac:dyDescent="0.25">
      <c r="J1528" s="190"/>
      <c r="K1528" s="190"/>
      <c r="L1528" s="190"/>
      <c r="M1528" s="190"/>
      <c r="O1528" s="190"/>
      <c r="P1528" s="190"/>
      <c r="Q1528" s="190"/>
      <c r="R1528" s="190"/>
      <c r="S1528" s="190"/>
      <c r="T1528" s="190"/>
      <c r="U1528" s="190"/>
      <c r="V1528" s="190"/>
      <c r="W1528" s="190"/>
      <c r="X1528" s="190"/>
      <c r="Y1528" s="190"/>
      <c r="Z1528" s="190"/>
      <c r="AA1528" s="190"/>
    </row>
    <row r="1529" spans="10:27" x14ac:dyDescent="0.25">
      <c r="J1529" s="190"/>
      <c r="K1529" s="190"/>
      <c r="L1529" s="190"/>
      <c r="M1529" s="190"/>
      <c r="O1529" s="190"/>
      <c r="P1529" s="190"/>
      <c r="Q1529" s="190"/>
      <c r="R1529" s="190"/>
      <c r="S1529" s="190"/>
      <c r="T1529" s="190"/>
      <c r="U1529" s="190"/>
      <c r="V1529" s="190"/>
      <c r="W1529" s="190"/>
      <c r="X1529" s="190"/>
      <c r="Y1529" s="190"/>
      <c r="Z1529" s="190"/>
      <c r="AA1529" s="190"/>
    </row>
    <row r="1530" spans="10:27" x14ac:dyDescent="0.25">
      <c r="J1530" s="190"/>
      <c r="K1530" s="190"/>
      <c r="L1530" s="190"/>
      <c r="M1530" s="190"/>
      <c r="O1530" s="190"/>
      <c r="P1530" s="190"/>
      <c r="Q1530" s="190"/>
      <c r="R1530" s="190"/>
      <c r="S1530" s="190"/>
      <c r="T1530" s="190"/>
      <c r="U1530" s="190"/>
      <c r="V1530" s="190"/>
      <c r="W1530" s="190"/>
      <c r="X1530" s="190"/>
      <c r="Y1530" s="190"/>
      <c r="Z1530" s="190"/>
      <c r="AA1530" s="190"/>
    </row>
    <row r="1531" spans="10:27" x14ac:dyDescent="0.25">
      <c r="J1531" s="190"/>
      <c r="K1531" s="190"/>
      <c r="L1531" s="190"/>
      <c r="M1531" s="190"/>
      <c r="O1531" s="190"/>
      <c r="P1531" s="190"/>
      <c r="Q1531" s="190"/>
      <c r="R1531" s="190"/>
      <c r="S1531" s="190"/>
      <c r="T1531" s="190"/>
      <c r="U1531" s="190"/>
      <c r="V1531" s="190"/>
      <c r="W1531" s="190"/>
      <c r="X1531" s="190"/>
      <c r="Y1531" s="190"/>
      <c r="Z1531" s="190"/>
      <c r="AA1531" s="190"/>
    </row>
    <row r="1532" spans="10:27" x14ac:dyDescent="0.25">
      <c r="J1532" s="190"/>
      <c r="K1532" s="190"/>
      <c r="L1532" s="190"/>
      <c r="M1532" s="190"/>
      <c r="O1532" s="190"/>
      <c r="P1532" s="190"/>
      <c r="Q1532" s="190"/>
      <c r="R1532" s="190"/>
      <c r="S1532" s="190"/>
      <c r="T1532" s="190"/>
      <c r="U1532" s="190"/>
      <c r="V1532" s="190"/>
      <c r="W1532" s="190"/>
      <c r="X1532" s="190"/>
      <c r="Y1532" s="190"/>
      <c r="Z1532" s="190"/>
      <c r="AA1532" s="190"/>
    </row>
    <row r="1533" spans="10:27" x14ac:dyDescent="0.25">
      <c r="J1533" s="190"/>
      <c r="K1533" s="190"/>
      <c r="L1533" s="190"/>
      <c r="M1533" s="190"/>
      <c r="O1533" s="190"/>
      <c r="P1533" s="190"/>
      <c r="Q1533" s="190"/>
      <c r="R1533" s="190"/>
      <c r="S1533" s="190"/>
      <c r="T1533" s="190"/>
      <c r="U1533" s="190"/>
      <c r="V1533" s="190"/>
      <c r="W1533" s="190"/>
      <c r="X1533" s="190"/>
      <c r="Y1533" s="190"/>
      <c r="Z1533" s="190"/>
      <c r="AA1533" s="190"/>
    </row>
    <row r="1534" spans="10:27" x14ac:dyDescent="0.25">
      <c r="J1534" s="190"/>
      <c r="K1534" s="190"/>
      <c r="L1534" s="190"/>
      <c r="M1534" s="190"/>
      <c r="O1534" s="190"/>
      <c r="P1534" s="190"/>
      <c r="Q1534" s="190"/>
      <c r="R1534" s="190"/>
      <c r="S1534" s="190"/>
      <c r="T1534" s="190"/>
      <c r="U1534" s="190"/>
      <c r="V1534" s="190"/>
      <c r="W1534" s="190"/>
      <c r="X1534" s="190"/>
      <c r="Y1534" s="190"/>
      <c r="Z1534" s="190"/>
      <c r="AA1534" s="190"/>
    </row>
    <row r="1535" spans="10:27" x14ac:dyDescent="0.25">
      <c r="J1535" s="190"/>
      <c r="K1535" s="190"/>
      <c r="L1535" s="190"/>
      <c r="M1535" s="190"/>
      <c r="O1535" s="190"/>
      <c r="P1535" s="190"/>
      <c r="Q1535" s="190"/>
      <c r="R1535" s="190"/>
      <c r="S1535" s="190"/>
      <c r="T1535" s="190"/>
      <c r="U1535" s="190"/>
      <c r="V1535" s="190"/>
      <c r="W1535" s="190"/>
      <c r="X1535" s="190"/>
      <c r="Y1535" s="190"/>
      <c r="Z1535" s="190"/>
      <c r="AA1535" s="190"/>
    </row>
    <row r="1536" spans="10:27" x14ac:dyDescent="0.25">
      <c r="J1536" s="190"/>
      <c r="K1536" s="190"/>
      <c r="L1536" s="190"/>
      <c r="M1536" s="190"/>
      <c r="O1536" s="190"/>
      <c r="P1536" s="190"/>
      <c r="Q1536" s="190"/>
      <c r="R1536" s="190"/>
      <c r="S1536" s="190"/>
      <c r="T1536" s="190"/>
      <c r="U1536" s="190"/>
      <c r="V1536" s="190"/>
      <c r="W1536" s="190"/>
      <c r="X1536" s="190"/>
      <c r="Y1536" s="190"/>
      <c r="Z1536" s="190"/>
      <c r="AA1536" s="190"/>
    </row>
    <row r="1537" spans="10:27" x14ac:dyDescent="0.25">
      <c r="J1537" s="190"/>
      <c r="K1537" s="190"/>
      <c r="L1537" s="190"/>
      <c r="M1537" s="190"/>
      <c r="O1537" s="190"/>
      <c r="P1537" s="190"/>
      <c r="Q1537" s="190"/>
      <c r="R1537" s="190"/>
      <c r="S1537" s="190"/>
      <c r="T1537" s="190"/>
      <c r="U1537" s="190"/>
      <c r="V1537" s="190"/>
      <c r="W1537" s="190"/>
      <c r="X1537" s="190"/>
      <c r="Y1537" s="190"/>
      <c r="Z1537" s="190"/>
      <c r="AA1537" s="190"/>
    </row>
    <row r="1538" spans="10:27" x14ac:dyDescent="0.25">
      <c r="J1538" s="190"/>
      <c r="K1538" s="190"/>
      <c r="L1538" s="190"/>
      <c r="M1538" s="190"/>
      <c r="O1538" s="190"/>
      <c r="P1538" s="190"/>
      <c r="Q1538" s="190"/>
      <c r="R1538" s="190"/>
      <c r="S1538" s="190"/>
      <c r="T1538" s="190"/>
      <c r="U1538" s="190"/>
      <c r="V1538" s="190"/>
      <c r="W1538" s="190"/>
      <c r="X1538" s="190"/>
      <c r="Y1538" s="190"/>
      <c r="Z1538" s="190"/>
      <c r="AA1538" s="190"/>
    </row>
    <row r="1539" spans="10:27" x14ac:dyDescent="0.25">
      <c r="J1539" s="190"/>
      <c r="K1539" s="190"/>
      <c r="L1539" s="190"/>
      <c r="M1539" s="190"/>
      <c r="O1539" s="190"/>
      <c r="P1539" s="190"/>
      <c r="Q1539" s="190"/>
      <c r="R1539" s="190"/>
      <c r="S1539" s="190"/>
      <c r="T1539" s="190"/>
      <c r="U1539" s="190"/>
      <c r="V1539" s="190"/>
      <c r="W1539" s="190"/>
      <c r="X1539" s="190"/>
      <c r="Y1539" s="190"/>
      <c r="Z1539" s="190"/>
      <c r="AA1539" s="190"/>
    </row>
    <row r="1540" spans="10:27" x14ac:dyDescent="0.25">
      <c r="J1540" s="190"/>
      <c r="K1540" s="190"/>
      <c r="L1540" s="190"/>
      <c r="M1540" s="190"/>
      <c r="O1540" s="190"/>
      <c r="P1540" s="190"/>
      <c r="Q1540" s="190"/>
      <c r="R1540" s="190"/>
      <c r="S1540" s="190"/>
      <c r="T1540" s="190"/>
      <c r="U1540" s="190"/>
      <c r="V1540" s="190"/>
      <c r="W1540" s="190"/>
      <c r="X1540" s="190"/>
      <c r="Y1540" s="190"/>
      <c r="Z1540" s="190"/>
      <c r="AA1540" s="190"/>
    </row>
    <row r="1541" spans="10:27" x14ac:dyDescent="0.25">
      <c r="J1541" s="190"/>
      <c r="K1541" s="190"/>
      <c r="L1541" s="190"/>
      <c r="M1541" s="190"/>
      <c r="O1541" s="190"/>
      <c r="P1541" s="190"/>
      <c r="Q1541" s="190"/>
      <c r="R1541" s="190"/>
      <c r="S1541" s="190"/>
      <c r="T1541" s="190"/>
      <c r="U1541" s="190"/>
      <c r="V1541" s="190"/>
      <c r="W1541" s="190"/>
      <c r="X1541" s="190"/>
      <c r="Y1541" s="190"/>
      <c r="Z1541" s="190"/>
      <c r="AA1541" s="190"/>
    </row>
    <row r="1542" spans="10:27" x14ac:dyDescent="0.25">
      <c r="J1542" s="190"/>
      <c r="K1542" s="190"/>
      <c r="L1542" s="190"/>
      <c r="M1542" s="190"/>
      <c r="O1542" s="190"/>
      <c r="P1542" s="190"/>
      <c r="Q1542" s="190"/>
      <c r="R1542" s="190"/>
      <c r="S1542" s="190"/>
      <c r="T1542" s="190"/>
      <c r="U1542" s="190"/>
      <c r="V1542" s="190"/>
      <c r="W1542" s="190"/>
      <c r="X1542" s="190"/>
      <c r="Y1542" s="190"/>
      <c r="Z1542" s="190"/>
      <c r="AA1542" s="190"/>
    </row>
    <row r="1543" spans="10:27" x14ac:dyDescent="0.25">
      <c r="J1543" s="190"/>
      <c r="K1543" s="190"/>
      <c r="L1543" s="190"/>
      <c r="M1543" s="190"/>
      <c r="O1543" s="190"/>
      <c r="P1543" s="190"/>
      <c r="Q1543" s="190"/>
      <c r="R1543" s="190"/>
      <c r="S1543" s="190"/>
      <c r="T1543" s="190"/>
      <c r="U1543" s="190"/>
      <c r="V1543" s="190"/>
      <c r="W1543" s="190"/>
      <c r="X1543" s="190"/>
      <c r="Y1543" s="190"/>
      <c r="Z1543" s="190"/>
      <c r="AA1543" s="190"/>
    </row>
    <row r="1544" spans="10:27" x14ac:dyDescent="0.25">
      <c r="J1544" s="190"/>
      <c r="K1544" s="190"/>
      <c r="L1544" s="190"/>
      <c r="M1544" s="190"/>
      <c r="O1544" s="190"/>
      <c r="P1544" s="190"/>
      <c r="Q1544" s="190"/>
      <c r="R1544" s="190"/>
      <c r="S1544" s="190"/>
      <c r="T1544" s="190"/>
      <c r="U1544" s="190"/>
      <c r="V1544" s="190"/>
      <c r="W1544" s="190"/>
      <c r="X1544" s="190"/>
      <c r="Y1544" s="190"/>
      <c r="Z1544" s="190"/>
      <c r="AA1544" s="190"/>
    </row>
    <row r="1545" spans="10:27" x14ac:dyDescent="0.25">
      <c r="J1545" s="190"/>
      <c r="K1545" s="190"/>
      <c r="L1545" s="190"/>
      <c r="M1545" s="190"/>
      <c r="O1545" s="190"/>
      <c r="P1545" s="190"/>
      <c r="Q1545" s="190"/>
      <c r="R1545" s="190"/>
      <c r="S1545" s="190"/>
      <c r="T1545" s="190"/>
      <c r="U1545" s="190"/>
      <c r="V1545" s="190"/>
      <c r="W1545" s="190"/>
      <c r="X1545" s="190"/>
      <c r="Y1545" s="190"/>
      <c r="Z1545" s="190"/>
      <c r="AA1545" s="190"/>
    </row>
    <row r="1546" spans="10:27" x14ac:dyDescent="0.25">
      <c r="J1546" s="190"/>
      <c r="K1546" s="190"/>
      <c r="L1546" s="190"/>
      <c r="M1546" s="190"/>
      <c r="O1546" s="190"/>
      <c r="P1546" s="190"/>
      <c r="Q1546" s="190"/>
      <c r="R1546" s="190"/>
      <c r="S1546" s="190"/>
      <c r="T1546" s="190"/>
      <c r="U1546" s="190"/>
      <c r="V1546" s="190"/>
      <c r="W1546" s="190"/>
      <c r="X1546" s="190"/>
      <c r="Y1546" s="190"/>
      <c r="Z1546" s="190"/>
      <c r="AA1546" s="190"/>
    </row>
    <row r="1547" spans="10:27" x14ac:dyDescent="0.25">
      <c r="J1547" s="190"/>
      <c r="K1547" s="190"/>
      <c r="L1547" s="190"/>
      <c r="M1547" s="190"/>
      <c r="O1547" s="190"/>
      <c r="P1547" s="190"/>
      <c r="Q1547" s="190"/>
      <c r="R1547" s="190"/>
      <c r="S1547" s="190"/>
      <c r="T1547" s="190"/>
      <c r="U1547" s="190"/>
      <c r="V1547" s="190"/>
      <c r="W1547" s="190"/>
      <c r="X1547" s="190"/>
      <c r="Y1547" s="190"/>
      <c r="Z1547" s="190"/>
      <c r="AA1547" s="190"/>
    </row>
    <row r="1548" spans="10:27" x14ac:dyDescent="0.25">
      <c r="J1548" s="190"/>
      <c r="K1548" s="190"/>
      <c r="L1548" s="190"/>
      <c r="M1548" s="190"/>
      <c r="O1548" s="190"/>
      <c r="P1548" s="190"/>
      <c r="Q1548" s="190"/>
      <c r="R1548" s="190"/>
      <c r="S1548" s="190"/>
      <c r="T1548" s="190"/>
      <c r="U1548" s="190"/>
      <c r="V1548" s="190"/>
      <c r="W1548" s="190"/>
      <c r="X1548" s="190"/>
      <c r="Y1548" s="190"/>
      <c r="Z1548" s="190"/>
      <c r="AA1548" s="190"/>
    </row>
    <row r="1549" spans="10:27" x14ac:dyDescent="0.25">
      <c r="J1549" s="190"/>
      <c r="K1549" s="190"/>
      <c r="L1549" s="190"/>
      <c r="M1549" s="190"/>
      <c r="O1549" s="190"/>
      <c r="P1549" s="190"/>
      <c r="Q1549" s="190"/>
      <c r="R1549" s="190"/>
      <c r="S1549" s="190"/>
      <c r="T1549" s="190"/>
      <c r="U1549" s="190"/>
      <c r="V1549" s="190"/>
      <c r="W1549" s="190"/>
      <c r="X1549" s="190"/>
      <c r="Y1549" s="190"/>
      <c r="Z1549" s="190"/>
      <c r="AA1549" s="190"/>
    </row>
    <row r="1550" spans="10:27" x14ac:dyDescent="0.25">
      <c r="J1550" s="190"/>
      <c r="K1550" s="190"/>
      <c r="L1550" s="190"/>
      <c r="M1550" s="190"/>
      <c r="O1550" s="190"/>
      <c r="P1550" s="190"/>
      <c r="Q1550" s="190"/>
      <c r="R1550" s="190"/>
      <c r="S1550" s="190"/>
      <c r="T1550" s="190"/>
      <c r="U1550" s="190"/>
      <c r="V1550" s="190"/>
      <c r="W1550" s="190"/>
      <c r="X1550" s="190"/>
      <c r="Y1550" s="190"/>
      <c r="Z1550" s="190"/>
      <c r="AA1550" s="190"/>
    </row>
    <row r="1551" spans="10:27" x14ac:dyDescent="0.25">
      <c r="J1551" s="190"/>
      <c r="K1551" s="190"/>
      <c r="L1551" s="190"/>
      <c r="M1551" s="190"/>
      <c r="O1551" s="190"/>
      <c r="P1551" s="190"/>
      <c r="Q1551" s="190"/>
      <c r="R1551" s="190"/>
      <c r="S1551" s="190"/>
      <c r="T1551" s="190"/>
      <c r="U1551" s="190"/>
      <c r="V1551" s="190"/>
      <c r="W1551" s="190"/>
      <c r="X1551" s="190"/>
      <c r="Y1551" s="190"/>
      <c r="Z1551" s="190"/>
      <c r="AA1551" s="190"/>
    </row>
    <row r="1552" spans="10:27" x14ac:dyDescent="0.25">
      <c r="J1552" s="190"/>
      <c r="K1552" s="190"/>
      <c r="L1552" s="190"/>
      <c r="M1552" s="190"/>
      <c r="O1552" s="190"/>
      <c r="P1552" s="190"/>
      <c r="Q1552" s="190"/>
      <c r="R1552" s="190"/>
      <c r="S1552" s="190"/>
      <c r="T1552" s="190"/>
      <c r="U1552" s="190"/>
      <c r="V1552" s="190"/>
      <c r="W1552" s="190"/>
      <c r="X1552" s="190"/>
      <c r="Y1552" s="190"/>
      <c r="Z1552" s="190"/>
      <c r="AA1552" s="190"/>
    </row>
    <row r="1553" spans="10:27" x14ac:dyDescent="0.25">
      <c r="J1553" s="190"/>
      <c r="K1553" s="190"/>
      <c r="L1553" s="190"/>
      <c r="M1553" s="190"/>
      <c r="O1553" s="190"/>
      <c r="P1553" s="190"/>
      <c r="Q1553" s="190"/>
      <c r="R1553" s="190"/>
      <c r="S1553" s="190"/>
      <c r="T1553" s="190"/>
      <c r="U1553" s="190"/>
      <c r="V1553" s="190"/>
      <c r="W1553" s="190"/>
      <c r="X1553" s="190"/>
      <c r="Y1553" s="190"/>
      <c r="Z1553" s="190"/>
      <c r="AA1553" s="190"/>
    </row>
    <row r="1554" spans="10:27" x14ac:dyDescent="0.25">
      <c r="J1554" s="190"/>
      <c r="K1554" s="190"/>
      <c r="L1554" s="190"/>
      <c r="M1554" s="190"/>
      <c r="O1554" s="190"/>
      <c r="P1554" s="190"/>
      <c r="Q1554" s="190"/>
      <c r="R1554" s="190"/>
      <c r="S1554" s="190"/>
      <c r="T1554" s="190"/>
      <c r="U1554" s="190"/>
      <c r="V1554" s="190"/>
      <c r="W1554" s="190"/>
      <c r="X1554" s="190"/>
      <c r="Y1554" s="190"/>
      <c r="Z1554" s="190"/>
      <c r="AA1554" s="190"/>
    </row>
    <row r="1555" spans="10:27" x14ac:dyDescent="0.25">
      <c r="J1555" s="190"/>
      <c r="K1555" s="190"/>
      <c r="L1555" s="190"/>
      <c r="M1555" s="190"/>
      <c r="O1555" s="190"/>
      <c r="P1555" s="190"/>
      <c r="Q1555" s="190"/>
      <c r="R1555" s="190"/>
      <c r="S1555" s="190"/>
      <c r="T1555" s="190"/>
      <c r="U1555" s="190"/>
      <c r="V1555" s="190"/>
      <c r="W1555" s="190"/>
      <c r="X1555" s="190"/>
      <c r="Y1555" s="190"/>
      <c r="Z1555" s="190"/>
      <c r="AA1555" s="190"/>
    </row>
    <row r="1556" spans="10:27" x14ac:dyDescent="0.25">
      <c r="J1556" s="190"/>
      <c r="K1556" s="190"/>
      <c r="L1556" s="190"/>
      <c r="M1556" s="190"/>
      <c r="O1556" s="190"/>
      <c r="P1556" s="190"/>
      <c r="Q1556" s="190"/>
      <c r="R1556" s="190"/>
      <c r="S1556" s="190"/>
      <c r="T1556" s="190"/>
      <c r="U1556" s="190"/>
      <c r="V1556" s="190"/>
      <c r="W1556" s="190"/>
      <c r="X1556" s="190"/>
      <c r="Y1556" s="190"/>
      <c r="Z1556" s="190"/>
      <c r="AA1556" s="190"/>
    </row>
    <row r="1557" spans="10:27" x14ac:dyDescent="0.25">
      <c r="J1557" s="190"/>
      <c r="K1557" s="190"/>
      <c r="L1557" s="190"/>
      <c r="M1557" s="190"/>
      <c r="O1557" s="190"/>
      <c r="P1557" s="190"/>
      <c r="Q1557" s="190"/>
      <c r="R1557" s="190"/>
      <c r="S1557" s="190"/>
      <c r="T1557" s="190"/>
      <c r="U1557" s="190"/>
      <c r="V1557" s="190"/>
      <c r="W1557" s="190"/>
      <c r="X1557" s="190"/>
      <c r="Y1557" s="190"/>
      <c r="Z1557" s="190"/>
      <c r="AA1557" s="190"/>
    </row>
    <row r="1558" spans="10:27" x14ac:dyDescent="0.25">
      <c r="J1558" s="190"/>
      <c r="K1558" s="190"/>
      <c r="L1558" s="190"/>
      <c r="M1558" s="190"/>
      <c r="O1558" s="190"/>
      <c r="P1558" s="190"/>
      <c r="Q1558" s="190"/>
      <c r="R1558" s="190"/>
      <c r="S1558" s="190"/>
      <c r="T1558" s="190"/>
      <c r="U1558" s="190"/>
      <c r="V1558" s="190"/>
      <c r="W1558" s="190"/>
      <c r="X1558" s="190"/>
      <c r="Y1558" s="190"/>
      <c r="Z1558" s="190"/>
      <c r="AA1558" s="190"/>
    </row>
    <row r="1559" spans="10:27" x14ac:dyDescent="0.25">
      <c r="J1559" s="190"/>
      <c r="K1559" s="190"/>
      <c r="L1559" s="190"/>
      <c r="M1559" s="190"/>
      <c r="O1559" s="190"/>
      <c r="P1559" s="190"/>
      <c r="Q1559" s="190"/>
      <c r="R1559" s="190"/>
      <c r="S1559" s="190"/>
      <c r="T1559" s="190"/>
      <c r="U1559" s="190"/>
      <c r="V1559" s="190"/>
      <c r="W1559" s="190"/>
      <c r="X1559" s="190"/>
      <c r="Y1559" s="190"/>
      <c r="Z1559" s="190"/>
      <c r="AA1559" s="190"/>
    </row>
    <row r="1560" spans="10:27" x14ac:dyDescent="0.25">
      <c r="J1560" s="190"/>
      <c r="K1560" s="190"/>
      <c r="L1560" s="190"/>
      <c r="M1560" s="190"/>
      <c r="O1560" s="190"/>
      <c r="P1560" s="190"/>
      <c r="Q1560" s="190"/>
      <c r="R1560" s="190"/>
      <c r="S1560" s="190"/>
      <c r="T1560" s="190"/>
      <c r="U1560" s="190"/>
      <c r="V1560" s="190"/>
      <c r="W1560" s="190"/>
      <c r="X1560" s="190"/>
      <c r="Y1560" s="190"/>
      <c r="Z1560" s="190"/>
      <c r="AA1560" s="190"/>
    </row>
    <row r="1561" spans="10:27" x14ac:dyDescent="0.25">
      <c r="J1561" s="190"/>
      <c r="K1561" s="190"/>
      <c r="L1561" s="190"/>
      <c r="M1561" s="190"/>
      <c r="O1561" s="190"/>
      <c r="P1561" s="190"/>
      <c r="Q1561" s="190"/>
      <c r="R1561" s="190"/>
      <c r="S1561" s="190"/>
      <c r="T1561" s="190"/>
      <c r="U1561" s="190"/>
      <c r="V1561" s="190"/>
      <c r="W1561" s="190"/>
      <c r="X1561" s="190"/>
      <c r="Y1561" s="190"/>
      <c r="Z1561" s="190"/>
      <c r="AA1561" s="190"/>
    </row>
    <row r="1562" spans="10:27" x14ac:dyDescent="0.25">
      <c r="J1562" s="190"/>
      <c r="K1562" s="190"/>
      <c r="L1562" s="190"/>
      <c r="M1562" s="190"/>
      <c r="O1562" s="190"/>
      <c r="P1562" s="190"/>
      <c r="Q1562" s="190"/>
      <c r="R1562" s="190"/>
      <c r="S1562" s="190"/>
      <c r="T1562" s="190"/>
      <c r="U1562" s="190"/>
      <c r="V1562" s="190"/>
      <c r="W1562" s="190"/>
      <c r="X1562" s="190"/>
      <c r="Y1562" s="190"/>
      <c r="Z1562" s="190"/>
      <c r="AA1562" s="190"/>
    </row>
    <row r="1563" spans="10:27" x14ac:dyDescent="0.25">
      <c r="J1563" s="190"/>
      <c r="K1563" s="190"/>
      <c r="L1563" s="190"/>
      <c r="M1563" s="190"/>
      <c r="O1563" s="190"/>
      <c r="P1563" s="190"/>
      <c r="Q1563" s="190"/>
      <c r="R1563" s="190"/>
      <c r="S1563" s="190"/>
      <c r="T1563" s="190"/>
      <c r="U1563" s="190"/>
      <c r="V1563" s="190"/>
      <c r="W1563" s="190"/>
      <c r="X1563" s="190"/>
      <c r="Y1563" s="190"/>
      <c r="Z1563" s="190"/>
      <c r="AA1563" s="190"/>
    </row>
    <row r="1564" spans="10:27" x14ac:dyDescent="0.25">
      <c r="J1564" s="190"/>
      <c r="K1564" s="190"/>
      <c r="L1564" s="190"/>
      <c r="M1564" s="190"/>
      <c r="O1564" s="190"/>
      <c r="P1564" s="190"/>
      <c r="Q1564" s="190"/>
      <c r="R1564" s="190"/>
      <c r="S1564" s="190"/>
      <c r="T1564" s="190"/>
      <c r="U1564" s="190"/>
      <c r="V1564" s="190"/>
      <c r="W1564" s="190"/>
      <c r="X1564" s="190"/>
      <c r="Y1564" s="190"/>
      <c r="Z1564" s="190"/>
      <c r="AA1564" s="190"/>
    </row>
    <row r="1565" spans="10:27" x14ac:dyDescent="0.25">
      <c r="J1565" s="190"/>
      <c r="K1565" s="190"/>
      <c r="L1565" s="190"/>
      <c r="M1565" s="190"/>
      <c r="O1565" s="190"/>
      <c r="P1565" s="190"/>
      <c r="Q1565" s="190"/>
      <c r="R1565" s="190"/>
      <c r="S1565" s="190"/>
      <c r="T1565" s="190"/>
      <c r="U1565" s="190"/>
      <c r="V1565" s="190"/>
      <c r="W1565" s="190"/>
      <c r="X1565" s="190"/>
      <c r="Y1565" s="190"/>
      <c r="Z1565" s="190"/>
      <c r="AA1565" s="190"/>
    </row>
    <row r="1566" spans="10:27" x14ac:dyDescent="0.25">
      <c r="J1566" s="190"/>
      <c r="K1566" s="190"/>
      <c r="L1566" s="190"/>
      <c r="M1566" s="190"/>
      <c r="O1566" s="190"/>
      <c r="P1566" s="190"/>
      <c r="Q1566" s="190"/>
      <c r="R1566" s="190"/>
      <c r="S1566" s="190"/>
      <c r="T1566" s="190"/>
      <c r="U1566" s="190"/>
      <c r="V1566" s="190"/>
      <c r="W1566" s="190"/>
      <c r="X1566" s="190"/>
      <c r="Y1566" s="190"/>
      <c r="Z1566" s="190"/>
      <c r="AA1566" s="190"/>
    </row>
    <row r="1567" spans="10:27" x14ac:dyDescent="0.25">
      <c r="J1567" s="190"/>
      <c r="K1567" s="190"/>
      <c r="L1567" s="190"/>
      <c r="M1567" s="190"/>
      <c r="O1567" s="190"/>
      <c r="P1567" s="190"/>
      <c r="Q1567" s="190"/>
      <c r="R1567" s="190"/>
      <c r="S1567" s="190"/>
      <c r="T1567" s="190"/>
      <c r="U1567" s="190"/>
      <c r="V1567" s="190"/>
      <c r="W1567" s="190"/>
      <c r="X1567" s="190"/>
      <c r="Y1567" s="190"/>
      <c r="Z1567" s="190"/>
      <c r="AA1567" s="190"/>
    </row>
    <row r="1568" spans="10:27" x14ac:dyDescent="0.25">
      <c r="J1568" s="190"/>
      <c r="K1568" s="190"/>
      <c r="L1568" s="190"/>
      <c r="M1568" s="190"/>
      <c r="O1568" s="190"/>
      <c r="P1568" s="190"/>
      <c r="Q1568" s="190"/>
      <c r="R1568" s="190"/>
      <c r="S1568" s="190"/>
      <c r="T1568" s="190"/>
      <c r="U1568" s="190"/>
      <c r="V1568" s="190"/>
      <c r="W1568" s="190"/>
      <c r="X1568" s="190"/>
      <c r="Y1568" s="190"/>
      <c r="Z1568" s="190"/>
      <c r="AA1568" s="190"/>
    </row>
    <row r="1569" spans="10:27" x14ac:dyDescent="0.25">
      <c r="J1569" s="190"/>
      <c r="K1569" s="190"/>
      <c r="L1569" s="190"/>
      <c r="M1569" s="190"/>
      <c r="O1569" s="190"/>
      <c r="P1569" s="190"/>
      <c r="Q1569" s="190"/>
      <c r="R1569" s="190"/>
      <c r="S1569" s="190"/>
      <c r="T1569" s="190"/>
      <c r="U1569" s="190"/>
      <c r="V1569" s="190"/>
      <c r="W1569" s="190"/>
      <c r="X1569" s="190"/>
      <c r="Y1569" s="190"/>
      <c r="Z1569" s="190"/>
      <c r="AA1569" s="190"/>
    </row>
    <row r="1570" spans="10:27" x14ac:dyDescent="0.25">
      <c r="J1570" s="190"/>
      <c r="K1570" s="190"/>
      <c r="L1570" s="190"/>
      <c r="M1570" s="190"/>
      <c r="O1570" s="190"/>
      <c r="P1570" s="190"/>
      <c r="Q1570" s="190"/>
      <c r="R1570" s="190"/>
      <c r="S1570" s="190"/>
      <c r="T1570" s="190"/>
      <c r="U1570" s="190"/>
      <c r="V1570" s="190"/>
      <c r="W1570" s="190"/>
      <c r="X1570" s="190"/>
      <c r="Y1570" s="190"/>
      <c r="Z1570" s="190"/>
      <c r="AA1570" s="190"/>
    </row>
    <row r="1571" spans="10:27" x14ac:dyDescent="0.25">
      <c r="J1571" s="190"/>
      <c r="K1571" s="190"/>
      <c r="L1571" s="190"/>
      <c r="M1571" s="190"/>
      <c r="O1571" s="190"/>
      <c r="P1571" s="190"/>
      <c r="Q1571" s="190"/>
      <c r="R1571" s="190"/>
      <c r="S1571" s="190"/>
      <c r="T1571" s="190"/>
      <c r="U1571" s="190"/>
      <c r="V1571" s="190"/>
      <c r="W1571" s="190"/>
      <c r="X1571" s="190"/>
      <c r="Y1571" s="190"/>
      <c r="Z1571" s="190"/>
      <c r="AA1571" s="190"/>
    </row>
    <row r="1572" spans="10:27" x14ac:dyDescent="0.25">
      <c r="J1572" s="190"/>
      <c r="K1572" s="190"/>
      <c r="L1572" s="190"/>
      <c r="M1572" s="190"/>
      <c r="O1572" s="190"/>
      <c r="P1572" s="190"/>
      <c r="Q1572" s="190"/>
      <c r="R1572" s="190"/>
      <c r="S1572" s="190"/>
      <c r="T1572" s="190"/>
      <c r="U1572" s="190"/>
      <c r="V1572" s="190"/>
      <c r="W1572" s="190"/>
      <c r="X1572" s="190"/>
      <c r="Y1572" s="190"/>
      <c r="Z1572" s="190"/>
      <c r="AA1572" s="190"/>
    </row>
    <row r="1573" spans="10:27" x14ac:dyDescent="0.25">
      <c r="J1573" s="190"/>
      <c r="K1573" s="190"/>
      <c r="L1573" s="190"/>
      <c r="M1573" s="190"/>
      <c r="O1573" s="190"/>
      <c r="P1573" s="190"/>
      <c r="Q1573" s="190"/>
      <c r="R1573" s="190"/>
      <c r="S1573" s="190"/>
      <c r="T1573" s="190"/>
      <c r="U1573" s="190"/>
      <c r="V1573" s="190"/>
      <c r="W1573" s="190"/>
      <c r="X1573" s="190"/>
      <c r="Y1573" s="190"/>
      <c r="Z1573" s="190"/>
      <c r="AA1573" s="190"/>
    </row>
    <row r="1574" spans="10:27" x14ac:dyDescent="0.25">
      <c r="J1574" s="190"/>
      <c r="K1574" s="190"/>
      <c r="L1574" s="190"/>
      <c r="M1574" s="190"/>
      <c r="O1574" s="190"/>
      <c r="P1574" s="190"/>
      <c r="Q1574" s="190"/>
      <c r="R1574" s="190"/>
      <c r="S1574" s="190"/>
      <c r="T1574" s="190"/>
      <c r="U1574" s="190"/>
      <c r="V1574" s="190"/>
      <c r="W1574" s="190"/>
      <c r="X1574" s="190"/>
      <c r="Y1574" s="190"/>
      <c r="Z1574" s="190"/>
      <c r="AA1574" s="190"/>
    </row>
    <row r="1575" spans="10:27" x14ac:dyDescent="0.25">
      <c r="J1575" s="190"/>
      <c r="K1575" s="190"/>
      <c r="L1575" s="190"/>
      <c r="M1575" s="190"/>
      <c r="O1575" s="190"/>
      <c r="P1575" s="190"/>
      <c r="Q1575" s="190"/>
      <c r="R1575" s="190"/>
      <c r="S1575" s="190"/>
      <c r="T1575" s="190"/>
      <c r="U1575" s="190"/>
      <c r="V1575" s="190"/>
      <c r="W1575" s="190"/>
      <c r="X1575" s="190"/>
      <c r="Y1575" s="190"/>
      <c r="Z1575" s="190"/>
      <c r="AA1575" s="190"/>
    </row>
    <row r="1576" spans="10:27" x14ac:dyDescent="0.25">
      <c r="J1576" s="190"/>
      <c r="K1576" s="190"/>
      <c r="L1576" s="190"/>
      <c r="M1576" s="190"/>
      <c r="O1576" s="190"/>
      <c r="P1576" s="190"/>
      <c r="Q1576" s="190"/>
      <c r="R1576" s="190"/>
      <c r="S1576" s="190"/>
      <c r="T1576" s="190"/>
      <c r="U1576" s="190"/>
      <c r="V1576" s="190"/>
      <c r="W1576" s="190"/>
      <c r="X1576" s="190"/>
      <c r="Y1576" s="190"/>
      <c r="Z1576" s="190"/>
      <c r="AA1576" s="190"/>
    </row>
    <row r="1577" spans="10:27" x14ac:dyDescent="0.25">
      <c r="J1577" s="190"/>
      <c r="K1577" s="190"/>
      <c r="L1577" s="190"/>
      <c r="M1577" s="190"/>
      <c r="O1577" s="190"/>
      <c r="P1577" s="190"/>
      <c r="Q1577" s="190"/>
      <c r="R1577" s="190"/>
      <c r="S1577" s="190"/>
      <c r="T1577" s="190"/>
      <c r="U1577" s="190"/>
      <c r="V1577" s="190"/>
      <c r="W1577" s="190"/>
      <c r="X1577" s="190"/>
      <c r="Y1577" s="190"/>
      <c r="Z1577" s="190"/>
      <c r="AA1577" s="190"/>
    </row>
    <row r="1578" spans="10:27" x14ac:dyDescent="0.25">
      <c r="J1578" s="190"/>
      <c r="K1578" s="190"/>
      <c r="L1578" s="190"/>
      <c r="M1578" s="190"/>
      <c r="O1578" s="190"/>
      <c r="P1578" s="190"/>
      <c r="Q1578" s="190"/>
      <c r="R1578" s="190"/>
      <c r="S1578" s="190"/>
      <c r="T1578" s="190"/>
      <c r="U1578" s="190"/>
      <c r="V1578" s="190"/>
      <c r="W1578" s="190"/>
      <c r="X1578" s="190"/>
      <c r="Y1578" s="190"/>
      <c r="Z1578" s="190"/>
      <c r="AA1578" s="190"/>
    </row>
    <row r="1579" spans="10:27" x14ac:dyDescent="0.25">
      <c r="J1579" s="190"/>
      <c r="K1579" s="190"/>
      <c r="L1579" s="190"/>
      <c r="M1579" s="190"/>
      <c r="O1579" s="190"/>
      <c r="P1579" s="190"/>
      <c r="Q1579" s="190"/>
      <c r="R1579" s="190"/>
      <c r="S1579" s="190"/>
      <c r="T1579" s="190"/>
      <c r="U1579" s="190"/>
      <c r="V1579" s="190"/>
      <c r="W1579" s="190"/>
      <c r="X1579" s="190"/>
      <c r="Y1579" s="190"/>
      <c r="Z1579" s="190"/>
      <c r="AA1579" s="190"/>
    </row>
    <row r="1580" spans="10:27" x14ac:dyDescent="0.25">
      <c r="J1580" s="190"/>
      <c r="K1580" s="190"/>
      <c r="L1580" s="190"/>
      <c r="M1580" s="190"/>
      <c r="O1580" s="190"/>
      <c r="P1580" s="190"/>
      <c r="Q1580" s="190"/>
      <c r="R1580" s="190"/>
      <c r="S1580" s="190"/>
      <c r="T1580" s="190"/>
      <c r="U1580" s="190"/>
      <c r="V1580" s="190"/>
      <c r="W1580" s="190"/>
      <c r="X1580" s="190"/>
      <c r="Y1580" s="190"/>
      <c r="Z1580" s="190"/>
      <c r="AA1580" s="190"/>
    </row>
    <row r="1581" spans="10:27" x14ac:dyDescent="0.25">
      <c r="J1581" s="190"/>
      <c r="K1581" s="190"/>
      <c r="L1581" s="190"/>
      <c r="M1581" s="190"/>
      <c r="O1581" s="190"/>
      <c r="P1581" s="190"/>
      <c r="Q1581" s="190"/>
      <c r="R1581" s="190"/>
      <c r="S1581" s="190"/>
      <c r="T1581" s="190"/>
      <c r="U1581" s="190"/>
      <c r="V1581" s="190"/>
      <c r="W1581" s="190"/>
      <c r="X1581" s="190"/>
      <c r="Y1581" s="190"/>
      <c r="Z1581" s="190"/>
      <c r="AA1581" s="190"/>
    </row>
    <row r="1582" spans="10:27" x14ac:dyDescent="0.25">
      <c r="J1582" s="190"/>
      <c r="K1582" s="190"/>
      <c r="L1582" s="190"/>
      <c r="M1582" s="190"/>
      <c r="O1582" s="190"/>
      <c r="P1582" s="190"/>
      <c r="Q1582" s="190"/>
      <c r="R1582" s="190"/>
      <c r="S1582" s="190"/>
      <c r="T1582" s="190"/>
      <c r="U1582" s="190"/>
      <c r="V1582" s="190"/>
      <c r="W1582" s="190"/>
      <c r="X1582" s="190"/>
      <c r="Y1582" s="190"/>
      <c r="Z1582" s="190"/>
      <c r="AA1582" s="190"/>
    </row>
    <row r="1583" spans="10:27" x14ac:dyDescent="0.25">
      <c r="J1583" s="190"/>
      <c r="K1583" s="190"/>
      <c r="L1583" s="190"/>
      <c r="M1583" s="190"/>
      <c r="O1583" s="190"/>
      <c r="P1583" s="190"/>
      <c r="Q1583" s="190"/>
      <c r="R1583" s="190"/>
      <c r="S1583" s="190"/>
      <c r="T1583" s="190"/>
      <c r="U1583" s="190"/>
      <c r="V1583" s="190"/>
      <c r="W1583" s="190"/>
      <c r="X1583" s="190"/>
      <c r="Y1583" s="190"/>
      <c r="Z1583" s="190"/>
      <c r="AA1583" s="190"/>
    </row>
    <row r="1584" spans="10:27" x14ac:dyDescent="0.25">
      <c r="J1584" s="190"/>
      <c r="K1584" s="190"/>
      <c r="L1584" s="190"/>
      <c r="M1584" s="190"/>
      <c r="O1584" s="190"/>
      <c r="P1584" s="190"/>
      <c r="Q1584" s="190"/>
      <c r="R1584" s="190"/>
      <c r="S1584" s="190"/>
      <c r="T1584" s="190"/>
      <c r="U1584" s="190"/>
      <c r="V1584" s="190"/>
      <c r="W1584" s="190"/>
      <c r="X1584" s="190"/>
      <c r="Y1584" s="190"/>
      <c r="Z1584" s="190"/>
      <c r="AA1584" s="190"/>
    </row>
    <row r="1585" spans="10:27" x14ac:dyDescent="0.25">
      <c r="J1585" s="190"/>
      <c r="K1585" s="190"/>
      <c r="L1585" s="190"/>
      <c r="M1585" s="190"/>
      <c r="O1585" s="190"/>
      <c r="P1585" s="190"/>
      <c r="Q1585" s="190"/>
      <c r="R1585" s="190"/>
      <c r="S1585" s="190"/>
      <c r="T1585" s="190"/>
      <c r="U1585" s="190"/>
      <c r="V1585" s="190"/>
      <c r="W1585" s="190"/>
      <c r="X1585" s="190"/>
      <c r="Y1585" s="190"/>
      <c r="Z1585" s="190"/>
      <c r="AA1585" s="190"/>
    </row>
    <row r="1586" spans="10:27" x14ac:dyDescent="0.25">
      <c r="J1586" s="190"/>
      <c r="K1586" s="190"/>
      <c r="L1586" s="190"/>
      <c r="M1586" s="190"/>
      <c r="O1586" s="190"/>
      <c r="P1586" s="190"/>
      <c r="Q1586" s="190"/>
      <c r="R1586" s="190"/>
      <c r="S1586" s="190"/>
      <c r="T1586" s="190"/>
      <c r="U1586" s="190"/>
      <c r="V1586" s="190"/>
      <c r="W1586" s="190"/>
      <c r="X1586" s="190"/>
      <c r="Y1586" s="190"/>
      <c r="Z1586" s="190"/>
      <c r="AA1586" s="190"/>
    </row>
    <row r="1587" spans="10:27" x14ac:dyDescent="0.25">
      <c r="J1587" s="190"/>
      <c r="K1587" s="190"/>
      <c r="L1587" s="190"/>
      <c r="M1587" s="190"/>
      <c r="O1587" s="190"/>
      <c r="P1587" s="190"/>
      <c r="Q1587" s="190"/>
      <c r="R1587" s="190"/>
      <c r="S1587" s="190"/>
      <c r="T1587" s="190"/>
      <c r="U1587" s="190"/>
      <c r="V1587" s="190"/>
      <c r="W1587" s="190"/>
      <c r="X1587" s="190"/>
      <c r="Y1587" s="190"/>
      <c r="Z1587" s="190"/>
      <c r="AA1587" s="190"/>
    </row>
    <row r="1588" spans="10:27" x14ac:dyDescent="0.25">
      <c r="J1588" s="190"/>
      <c r="K1588" s="190"/>
      <c r="L1588" s="190"/>
      <c r="M1588" s="190"/>
      <c r="O1588" s="190"/>
      <c r="P1588" s="190"/>
      <c r="Q1588" s="190"/>
      <c r="R1588" s="190"/>
      <c r="S1588" s="190"/>
      <c r="T1588" s="190"/>
      <c r="U1588" s="190"/>
      <c r="V1588" s="190"/>
      <c r="W1588" s="190"/>
      <c r="X1588" s="190"/>
      <c r="Y1588" s="190"/>
      <c r="Z1588" s="190"/>
      <c r="AA1588" s="190"/>
    </row>
    <row r="1589" spans="10:27" x14ac:dyDescent="0.25">
      <c r="J1589" s="190"/>
      <c r="K1589" s="190"/>
      <c r="L1589" s="190"/>
      <c r="M1589" s="190"/>
      <c r="O1589" s="190"/>
      <c r="P1589" s="190"/>
      <c r="Q1589" s="190"/>
      <c r="R1589" s="190"/>
      <c r="S1589" s="190"/>
      <c r="T1589" s="190"/>
      <c r="U1589" s="190"/>
      <c r="V1589" s="190"/>
      <c r="W1589" s="190"/>
      <c r="X1589" s="190"/>
      <c r="Y1589" s="190"/>
      <c r="Z1589" s="190"/>
      <c r="AA1589" s="190"/>
    </row>
    <row r="1590" spans="10:27" x14ac:dyDescent="0.25">
      <c r="J1590" s="190"/>
      <c r="K1590" s="190"/>
      <c r="L1590" s="190"/>
      <c r="M1590" s="190"/>
      <c r="O1590" s="190"/>
      <c r="P1590" s="190"/>
      <c r="Q1590" s="190"/>
      <c r="R1590" s="190"/>
      <c r="S1590" s="190"/>
      <c r="T1590" s="190"/>
      <c r="U1590" s="190"/>
      <c r="V1590" s="190"/>
      <c r="W1590" s="190"/>
      <c r="X1590" s="190"/>
      <c r="Y1590" s="190"/>
      <c r="Z1590" s="190"/>
      <c r="AA1590" s="190"/>
    </row>
    <row r="1591" spans="10:27" x14ac:dyDescent="0.25">
      <c r="J1591" s="190"/>
      <c r="K1591" s="190"/>
      <c r="L1591" s="190"/>
      <c r="M1591" s="190"/>
      <c r="O1591" s="190"/>
      <c r="P1591" s="190"/>
      <c r="Q1591" s="190"/>
      <c r="R1591" s="190"/>
      <c r="S1591" s="190"/>
      <c r="T1591" s="190"/>
      <c r="U1591" s="190"/>
      <c r="V1591" s="190"/>
      <c r="W1591" s="190"/>
      <c r="X1591" s="190"/>
      <c r="Y1591" s="190"/>
      <c r="Z1591" s="190"/>
      <c r="AA1591" s="190"/>
    </row>
    <row r="1592" spans="10:27" x14ac:dyDescent="0.25">
      <c r="J1592" s="190"/>
      <c r="K1592" s="190"/>
      <c r="L1592" s="190"/>
      <c r="M1592" s="190"/>
      <c r="O1592" s="190"/>
      <c r="P1592" s="190"/>
      <c r="Q1592" s="190"/>
      <c r="R1592" s="190"/>
      <c r="S1592" s="190"/>
      <c r="T1592" s="190"/>
      <c r="U1592" s="190"/>
      <c r="V1592" s="190"/>
      <c r="W1592" s="190"/>
      <c r="X1592" s="190"/>
      <c r="Y1592" s="190"/>
      <c r="Z1592" s="190"/>
      <c r="AA1592" s="190"/>
    </row>
    <row r="1593" spans="10:27" x14ac:dyDescent="0.25">
      <c r="J1593" s="190"/>
      <c r="K1593" s="190"/>
      <c r="L1593" s="190"/>
      <c r="M1593" s="190"/>
      <c r="O1593" s="190"/>
      <c r="P1593" s="190"/>
      <c r="Q1593" s="190"/>
      <c r="R1593" s="190"/>
      <c r="S1593" s="190"/>
      <c r="T1593" s="190"/>
      <c r="U1593" s="190"/>
      <c r="V1593" s="190"/>
      <c r="W1593" s="190"/>
      <c r="X1593" s="190"/>
      <c r="Y1593" s="190"/>
      <c r="Z1593" s="190"/>
      <c r="AA1593" s="190"/>
    </row>
    <row r="1594" spans="10:27" x14ac:dyDescent="0.25">
      <c r="J1594" s="190"/>
      <c r="K1594" s="190"/>
      <c r="L1594" s="190"/>
      <c r="M1594" s="190"/>
      <c r="O1594" s="190"/>
      <c r="P1594" s="190"/>
      <c r="Q1594" s="190"/>
      <c r="R1594" s="190"/>
      <c r="S1594" s="190"/>
      <c r="T1594" s="190"/>
      <c r="U1594" s="190"/>
      <c r="V1594" s="190"/>
      <c r="W1594" s="190"/>
      <c r="X1594" s="190"/>
      <c r="Y1594" s="190"/>
      <c r="Z1594" s="190"/>
      <c r="AA1594" s="190"/>
    </row>
    <row r="1595" spans="10:27" x14ac:dyDescent="0.25">
      <c r="J1595" s="190"/>
      <c r="K1595" s="190"/>
      <c r="L1595" s="190"/>
      <c r="M1595" s="190"/>
      <c r="O1595" s="190"/>
      <c r="P1595" s="190"/>
      <c r="Q1595" s="190"/>
      <c r="R1595" s="190"/>
      <c r="S1595" s="190"/>
      <c r="T1595" s="190"/>
      <c r="U1595" s="190"/>
      <c r="V1595" s="190"/>
      <c r="W1595" s="190"/>
      <c r="X1595" s="190"/>
      <c r="Y1595" s="190"/>
      <c r="Z1595" s="190"/>
      <c r="AA1595" s="190"/>
    </row>
    <row r="1596" spans="10:27" x14ac:dyDescent="0.25">
      <c r="J1596" s="190"/>
      <c r="K1596" s="190"/>
      <c r="L1596" s="190"/>
      <c r="M1596" s="190"/>
      <c r="O1596" s="190"/>
      <c r="P1596" s="190"/>
      <c r="Q1596" s="190"/>
      <c r="R1596" s="190"/>
      <c r="S1596" s="190"/>
      <c r="T1596" s="190"/>
      <c r="U1596" s="190"/>
      <c r="V1596" s="190"/>
      <c r="W1596" s="190"/>
      <c r="X1596" s="190"/>
      <c r="Y1596" s="190"/>
      <c r="Z1596" s="190"/>
      <c r="AA1596" s="190"/>
    </row>
    <row r="1597" spans="10:27" x14ac:dyDescent="0.25">
      <c r="J1597" s="190"/>
      <c r="K1597" s="190"/>
      <c r="L1597" s="190"/>
      <c r="M1597" s="190"/>
      <c r="O1597" s="190"/>
      <c r="P1597" s="190"/>
      <c r="Q1597" s="190"/>
      <c r="R1597" s="190"/>
      <c r="S1597" s="190"/>
      <c r="T1597" s="190"/>
      <c r="U1597" s="190"/>
      <c r="V1597" s="190"/>
      <c r="W1597" s="190"/>
      <c r="X1597" s="190"/>
      <c r="Y1597" s="190"/>
      <c r="Z1597" s="190"/>
      <c r="AA1597" s="190"/>
    </row>
    <row r="1598" spans="10:27" x14ac:dyDescent="0.25">
      <c r="J1598" s="190"/>
      <c r="K1598" s="190"/>
      <c r="L1598" s="190"/>
      <c r="M1598" s="190"/>
      <c r="O1598" s="190"/>
      <c r="P1598" s="190"/>
      <c r="Q1598" s="190"/>
      <c r="R1598" s="190"/>
      <c r="S1598" s="190"/>
      <c r="T1598" s="190"/>
      <c r="U1598" s="190"/>
      <c r="V1598" s="190"/>
      <c r="W1598" s="190"/>
      <c r="X1598" s="190"/>
      <c r="Y1598" s="190"/>
      <c r="Z1598" s="190"/>
      <c r="AA1598" s="190"/>
    </row>
    <row r="1599" spans="10:27" x14ac:dyDescent="0.25">
      <c r="J1599" s="190"/>
      <c r="K1599" s="190"/>
      <c r="L1599" s="190"/>
      <c r="M1599" s="190"/>
      <c r="O1599" s="190"/>
      <c r="P1599" s="190"/>
      <c r="Q1599" s="190"/>
      <c r="R1599" s="190"/>
      <c r="S1599" s="190"/>
      <c r="T1599" s="190"/>
      <c r="U1599" s="190"/>
      <c r="V1599" s="190"/>
      <c r="W1599" s="190"/>
      <c r="X1599" s="190"/>
      <c r="Y1599" s="190"/>
      <c r="Z1599" s="190"/>
      <c r="AA1599" s="190"/>
    </row>
    <row r="1600" spans="10:27" x14ac:dyDescent="0.25">
      <c r="J1600" s="190"/>
      <c r="K1600" s="190"/>
      <c r="L1600" s="190"/>
      <c r="M1600" s="190"/>
      <c r="O1600" s="190"/>
      <c r="P1600" s="190"/>
      <c r="Q1600" s="190"/>
      <c r="R1600" s="190"/>
      <c r="S1600" s="190"/>
      <c r="T1600" s="190"/>
      <c r="U1600" s="190"/>
      <c r="V1600" s="190"/>
      <c r="W1600" s="190"/>
      <c r="X1600" s="190"/>
      <c r="Y1600" s="190"/>
      <c r="Z1600" s="190"/>
      <c r="AA1600" s="190"/>
    </row>
    <row r="1601" spans="10:27" x14ac:dyDescent="0.25">
      <c r="J1601" s="190"/>
      <c r="K1601" s="190"/>
      <c r="L1601" s="190"/>
      <c r="M1601" s="190"/>
      <c r="O1601" s="190"/>
      <c r="P1601" s="190"/>
      <c r="Q1601" s="190"/>
      <c r="R1601" s="190"/>
      <c r="S1601" s="190"/>
      <c r="T1601" s="190"/>
      <c r="U1601" s="190"/>
      <c r="V1601" s="190"/>
      <c r="W1601" s="190"/>
      <c r="X1601" s="190"/>
      <c r="Y1601" s="190"/>
      <c r="Z1601" s="190"/>
      <c r="AA1601" s="190"/>
    </row>
    <row r="1602" spans="10:27" x14ac:dyDescent="0.25">
      <c r="J1602" s="190"/>
      <c r="K1602" s="190"/>
      <c r="L1602" s="190"/>
      <c r="M1602" s="190"/>
      <c r="O1602" s="190"/>
      <c r="P1602" s="190"/>
      <c r="Q1602" s="190"/>
      <c r="R1602" s="190"/>
      <c r="S1602" s="190"/>
      <c r="T1602" s="190"/>
      <c r="U1602" s="190"/>
      <c r="V1602" s="190"/>
      <c r="W1602" s="190"/>
      <c r="X1602" s="190"/>
      <c r="Y1602" s="190"/>
      <c r="Z1602" s="190"/>
      <c r="AA1602" s="190"/>
    </row>
    <row r="1603" spans="10:27" x14ac:dyDescent="0.25">
      <c r="J1603" s="190"/>
      <c r="K1603" s="190"/>
      <c r="L1603" s="190"/>
      <c r="M1603" s="190"/>
      <c r="O1603" s="190"/>
      <c r="P1603" s="190"/>
      <c r="Q1603" s="190"/>
      <c r="R1603" s="190"/>
      <c r="S1603" s="190"/>
      <c r="T1603" s="190"/>
      <c r="U1603" s="190"/>
      <c r="V1603" s="190"/>
      <c r="W1603" s="190"/>
      <c r="X1603" s="190"/>
      <c r="Y1603" s="190"/>
      <c r="Z1603" s="190"/>
      <c r="AA1603" s="190"/>
    </row>
    <row r="1604" spans="10:27" x14ac:dyDescent="0.25">
      <c r="J1604" s="190"/>
      <c r="K1604" s="190"/>
      <c r="L1604" s="190"/>
      <c r="M1604" s="190"/>
      <c r="O1604" s="190"/>
      <c r="P1604" s="190"/>
      <c r="Q1604" s="190"/>
      <c r="R1604" s="190"/>
      <c r="S1604" s="190"/>
      <c r="T1604" s="190"/>
      <c r="U1604" s="190"/>
      <c r="V1604" s="190"/>
      <c r="W1604" s="190"/>
      <c r="X1604" s="190"/>
      <c r="Y1604" s="190"/>
      <c r="Z1604" s="190"/>
      <c r="AA1604" s="190"/>
    </row>
    <row r="1605" spans="10:27" x14ac:dyDescent="0.25">
      <c r="J1605" s="190"/>
      <c r="K1605" s="190"/>
      <c r="L1605" s="190"/>
      <c r="M1605" s="190"/>
      <c r="O1605" s="190"/>
      <c r="P1605" s="190"/>
      <c r="Q1605" s="190"/>
      <c r="R1605" s="190"/>
      <c r="S1605" s="190"/>
      <c r="T1605" s="190"/>
      <c r="U1605" s="190"/>
      <c r="V1605" s="190"/>
      <c r="W1605" s="190"/>
      <c r="X1605" s="190"/>
      <c r="Y1605" s="190"/>
      <c r="Z1605" s="190"/>
      <c r="AA1605" s="190"/>
    </row>
    <row r="1606" spans="10:27" x14ac:dyDescent="0.25">
      <c r="J1606" s="190"/>
      <c r="K1606" s="190"/>
      <c r="L1606" s="190"/>
      <c r="M1606" s="190"/>
      <c r="O1606" s="190"/>
      <c r="P1606" s="190"/>
      <c r="Q1606" s="190"/>
      <c r="R1606" s="190"/>
      <c r="S1606" s="190"/>
      <c r="T1606" s="190"/>
      <c r="U1606" s="190"/>
      <c r="V1606" s="190"/>
      <c r="W1606" s="190"/>
      <c r="X1606" s="190"/>
      <c r="Y1606" s="190"/>
      <c r="Z1606" s="190"/>
      <c r="AA1606" s="190"/>
    </row>
    <row r="1607" spans="10:27" x14ac:dyDescent="0.25">
      <c r="J1607" s="190"/>
      <c r="K1607" s="190"/>
      <c r="L1607" s="190"/>
      <c r="M1607" s="190"/>
      <c r="O1607" s="190"/>
      <c r="P1607" s="190"/>
      <c r="Q1607" s="190"/>
      <c r="R1607" s="190"/>
      <c r="S1607" s="190"/>
      <c r="T1607" s="190"/>
      <c r="U1607" s="190"/>
      <c r="V1607" s="190"/>
      <c r="W1607" s="190"/>
      <c r="X1607" s="190"/>
      <c r="Y1607" s="190"/>
      <c r="Z1607" s="190"/>
      <c r="AA1607" s="190"/>
    </row>
    <row r="1608" spans="10:27" x14ac:dyDescent="0.25">
      <c r="J1608" s="190"/>
      <c r="K1608" s="190"/>
      <c r="L1608" s="190"/>
      <c r="M1608" s="190"/>
      <c r="O1608" s="190"/>
      <c r="P1608" s="190"/>
      <c r="Q1608" s="190"/>
      <c r="R1608" s="190"/>
      <c r="S1608" s="190"/>
      <c r="T1608" s="190"/>
      <c r="U1608" s="190"/>
      <c r="V1608" s="190"/>
      <c r="W1608" s="190"/>
      <c r="X1608" s="190"/>
      <c r="Y1608" s="190"/>
      <c r="Z1608" s="190"/>
      <c r="AA1608" s="190"/>
    </row>
    <row r="1609" spans="10:27" x14ac:dyDescent="0.25">
      <c r="J1609" s="190"/>
      <c r="K1609" s="190"/>
      <c r="L1609" s="190"/>
      <c r="M1609" s="190"/>
      <c r="O1609" s="190"/>
      <c r="P1609" s="190"/>
      <c r="Q1609" s="190"/>
      <c r="R1609" s="190"/>
      <c r="S1609" s="190"/>
      <c r="T1609" s="190"/>
      <c r="U1609" s="190"/>
      <c r="V1609" s="190"/>
      <c r="W1609" s="190"/>
      <c r="X1609" s="190"/>
      <c r="Y1609" s="190"/>
      <c r="Z1609" s="190"/>
      <c r="AA1609" s="190"/>
    </row>
    <row r="1610" spans="10:27" x14ac:dyDescent="0.25">
      <c r="J1610" s="190"/>
      <c r="K1610" s="190"/>
      <c r="L1610" s="190"/>
      <c r="M1610" s="190"/>
      <c r="O1610" s="190"/>
      <c r="P1610" s="190"/>
      <c r="Q1610" s="190"/>
      <c r="R1610" s="190"/>
      <c r="S1610" s="190"/>
      <c r="T1610" s="190"/>
      <c r="U1610" s="190"/>
      <c r="V1610" s="190"/>
      <c r="W1610" s="190"/>
      <c r="X1610" s="190"/>
      <c r="Y1610" s="190"/>
      <c r="Z1610" s="190"/>
      <c r="AA1610" s="190"/>
    </row>
    <row r="1611" spans="10:27" x14ac:dyDescent="0.25">
      <c r="J1611" s="190"/>
      <c r="K1611" s="190"/>
      <c r="L1611" s="190"/>
      <c r="M1611" s="190"/>
      <c r="O1611" s="190"/>
      <c r="P1611" s="190"/>
      <c r="Q1611" s="190"/>
      <c r="R1611" s="190"/>
      <c r="S1611" s="190"/>
      <c r="T1611" s="190"/>
      <c r="U1611" s="190"/>
      <c r="V1611" s="190"/>
      <c r="W1611" s="190"/>
      <c r="X1611" s="190"/>
      <c r="Y1611" s="190"/>
      <c r="Z1611" s="190"/>
      <c r="AA1611" s="190"/>
    </row>
    <row r="1612" spans="10:27" x14ac:dyDescent="0.25">
      <c r="J1612" s="190"/>
      <c r="K1612" s="190"/>
      <c r="L1612" s="190"/>
      <c r="M1612" s="190"/>
      <c r="O1612" s="190"/>
      <c r="P1612" s="190"/>
      <c r="Q1612" s="190"/>
      <c r="R1612" s="190"/>
      <c r="S1612" s="190"/>
      <c r="T1612" s="190"/>
      <c r="U1612" s="190"/>
      <c r="V1612" s="190"/>
      <c r="W1612" s="190"/>
      <c r="X1612" s="190"/>
      <c r="Y1612" s="190"/>
      <c r="Z1612" s="190"/>
      <c r="AA1612" s="190"/>
    </row>
    <row r="1613" spans="10:27" x14ac:dyDescent="0.25">
      <c r="J1613" s="190"/>
      <c r="K1613" s="190"/>
      <c r="L1613" s="190"/>
      <c r="M1613" s="190"/>
      <c r="O1613" s="190"/>
      <c r="P1613" s="190"/>
      <c r="Q1613" s="190"/>
      <c r="R1613" s="190"/>
      <c r="S1613" s="190"/>
      <c r="T1613" s="190"/>
      <c r="U1613" s="190"/>
      <c r="V1613" s="190"/>
      <c r="W1613" s="190"/>
      <c r="X1613" s="190"/>
      <c r="Y1613" s="190"/>
      <c r="Z1613" s="190"/>
      <c r="AA1613" s="190"/>
    </row>
    <row r="1614" spans="10:27" x14ac:dyDescent="0.25">
      <c r="J1614" s="190"/>
      <c r="K1614" s="190"/>
      <c r="L1614" s="190"/>
      <c r="M1614" s="190"/>
      <c r="O1614" s="190"/>
      <c r="P1614" s="190"/>
      <c r="Q1614" s="190"/>
      <c r="R1614" s="190"/>
      <c r="S1614" s="190"/>
      <c r="T1614" s="190"/>
      <c r="U1614" s="190"/>
      <c r="V1614" s="190"/>
      <c r="W1614" s="190"/>
      <c r="X1614" s="190"/>
      <c r="Y1614" s="190"/>
      <c r="Z1614" s="190"/>
      <c r="AA1614" s="190"/>
    </row>
    <row r="1615" spans="10:27" x14ac:dyDescent="0.25">
      <c r="J1615" s="190"/>
      <c r="K1615" s="190"/>
      <c r="L1615" s="190"/>
      <c r="M1615" s="190"/>
      <c r="O1615" s="190"/>
      <c r="P1615" s="190"/>
      <c r="Q1615" s="190"/>
      <c r="R1615" s="190"/>
      <c r="S1615" s="190"/>
      <c r="T1615" s="190"/>
      <c r="U1615" s="190"/>
      <c r="V1615" s="190"/>
      <c r="W1615" s="190"/>
      <c r="X1615" s="190"/>
      <c r="Y1615" s="190"/>
      <c r="Z1615" s="190"/>
      <c r="AA1615" s="190"/>
    </row>
    <row r="1616" spans="10:27" x14ac:dyDescent="0.25">
      <c r="J1616" s="190"/>
      <c r="K1616" s="190"/>
      <c r="L1616" s="190"/>
      <c r="M1616" s="190"/>
      <c r="O1616" s="190"/>
      <c r="P1616" s="190"/>
      <c r="Q1616" s="190"/>
      <c r="R1616" s="190"/>
      <c r="S1616" s="190"/>
      <c r="T1616" s="190"/>
      <c r="U1616" s="190"/>
      <c r="V1616" s="190"/>
      <c r="W1616" s="190"/>
      <c r="X1616" s="190"/>
      <c r="Y1616" s="190"/>
      <c r="Z1616" s="190"/>
      <c r="AA1616" s="190"/>
    </row>
    <row r="1617" spans="10:27" x14ac:dyDescent="0.25">
      <c r="J1617" s="190"/>
      <c r="K1617" s="190"/>
      <c r="L1617" s="190"/>
      <c r="M1617" s="190"/>
      <c r="O1617" s="190"/>
      <c r="P1617" s="190"/>
      <c r="Q1617" s="190"/>
      <c r="R1617" s="190"/>
      <c r="S1617" s="190"/>
      <c r="T1617" s="190"/>
      <c r="U1617" s="190"/>
      <c r="V1617" s="190"/>
      <c r="W1617" s="190"/>
      <c r="X1617" s="190"/>
      <c r="Y1617" s="190"/>
      <c r="Z1617" s="190"/>
      <c r="AA1617" s="190"/>
    </row>
    <row r="1618" spans="10:27" x14ac:dyDescent="0.25">
      <c r="J1618" s="190"/>
      <c r="K1618" s="190"/>
      <c r="L1618" s="190"/>
      <c r="M1618" s="190"/>
      <c r="O1618" s="190"/>
      <c r="P1618" s="190"/>
      <c r="Q1618" s="190"/>
      <c r="R1618" s="190"/>
      <c r="S1618" s="190"/>
      <c r="T1618" s="190"/>
      <c r="U1618" s="190"/>
      <c r="V1618" s="190"/>
      <c r="W1618" s="190"/>
      <c r="X1618" s="190"/>
      <c r="Y1618" s="190"/>
      <c r="Z1618" s="190"/>
      <c r="AA1618" s="190"/>
    </row>
    <row r="1619" spans="10:27" x14ac:dyDescent="0.25">
      <c r="J1619" s="190"/>
      <c r="K1619" s="190"/>
      <c r="L1619" s="190"/>
      <c r="M1619" s="190"/>
      <c r="O1619" s="190"/>
      <c r="P1619" s="190"/>
      <c r="Q1619" s="190"/>
      <c r="R1619" s="190"/>
      <c r="S1619" s="190"/>
      <c r="T1619" s="190"/>
      <c r="U1619" s="190"/>
      <c r="V1619" s="190"/>
      <c r="W1619" s="190"/>
      <c r="X1619" s="190"/>
      <c r="Y1619" s="190"/>
      <c r="Z1619" s="190"/>
      <c r="AA1619" s="190"/>
    </row>
    <row r="1620" spans="10:27" x14ac:dyDescent="0.25">
      <c r="J1620" s="190"/>
      <c r="K1620" s="190"/>
      <c r="L1620" s="190"/>
      <c r="M1620" s="190"/>
      <c r="O1620" s="190"/>
      <c r="P1620" s="190"/>
      <c r="Q1620" s="190"/>
      <c r="R1620" s="190"/>
      <c r="S1620" s="190"/>
      <c r="T1620" s="190"/>
      <c r="U1620" s="190"/>
      <c r="V1620" s="190"/>
      <c r="W1620" s="190"/>
      <c r="X1620" s="190"/>
      <c r="Y1620" s="190"/>
      <c r="Z1620" s="190"/>
      <c r="AA1620" s="190"/>
    </row>
    <row r="1621" spans="10:27" x14ac:dyDescent="0.25">
      <c r="J1621" s="190"/>
      <c r="K1621" s="190"/>
      <c r="L1621" s="190"/>
      <c r="M1621" s="190"/>
      <c r="O1621" s="190"/>
      <c r="P1621" s="190"/>
      <c r="Q1621" s="190"/>
      <c r="R1621" s="190"/>
      <c r="S1621" s="190"/>
      <c r="T1621" s="190"/>
      <c r="U1621" s="190"/>
      <c r="V1621" s="190"/>
      <c r="W1621" s="190"/>
      <c r="X1621" s="190"/>
      <c r="Y1621" s="190"/>
      <c r="Z1621" s="190"/>
      <c r="AA1621" s="190"/>
    </row>
    <row r="1622" spans="10:27" x14ac:dyDescent="0.25">
      <c r="J1622" s="190"/>
      <c r="K1622" s="190"/>
      <c r="L1622" s="190"/>
      <c r="M1622" s="190"/>
      <c r="O1622" s="190"/>
      <c r="P1622" s="190"/>
      <c r="Q1622" s="190"/>
      <c r="R1622" s="190"/>
      <c r="S1622" s="190"/>
      <c r="T1622" s="190"/>
      <c r="U1622" s="190"/>
      <c r="V1622" s="190"/>
      <c r="W1622" s="190"/>
      <c r="X1622" s="190"/>
      <c r="Y1622" s="190"/>
      <c r="Z1622" s="190"/>
      <c r="AA1622" s="190"/>
    </row>
    <row r="1623" spans="10:27" x14ac:dyDescent="0.25">
      <c r="J1623" s="190"/>
      <c r="K1623" s="190"/>
      <c r="L1623" s="190"/>
      <c r="M1623" s="190"/>
      <c r="O1623" s="190"/>
      <c r="P1623" s="190"/>
      <c r="Q1623" s="190"/>
      <c r="R1623" s="190"/>
      <c r="S1623" s="190"/>
      <c r="T1623" s="190"/>
      <c r="U1623" s="190"/>
      <c r="V1623" s="190"/>
      <c r="W1623" s="190"/>
      <c r="X1623" s="190"/>
      <c r="Y1623" s="190"/>
      <c r="Z1623" s="190"/>
      <c r="AA1623" s="190"/>
    </row>
    <row r="1624" spans="10:27" x14ac:dyDescent="0.25">
      <c r="J1624" s="190"/>
      <c r="K1624" s="190"/>
      <c r="L1624" s="190"/>
      <c r="M1624" s="190"/>
      <c r="O1624" s="190"/>
      <c r="P1624" s="190"/>
      <c r="Q1624" s="190"/>
      <c r="R1624" s="190"/>
      <c r="S1624" s="190"/>
      <c r="T1624" s="190"/>
      <c r="U1624" s="190"/>
      <c r="V1624" s="190"/>
      <c r="W1624" s="190"/>
      <c r="X1624" s="190"/>
      <c r="Y1624" s="190"/>
      <c r="Z1624" s="190"/>
      <c r="AA1624" s="190"/>
    </row>
    <row r="1625" spans="10:27" x14ac:dyDescent="0.25">
      <c r="J1625" s="190"/>
      <c r="K1625" s="190"/>
      <c r="L1625" s="190"/>
      <c r="M1625" s="190"/>
      <c r="O1625" s="190"/>
      <c r="P1625" s="190"/>
      <c r="Q1625" s="190"/>
      <c r="R1625" s="190"/>
      <c r="S1625" s="190"/>
      <c r="T1625" s="190"/>
      <c r="U1625" s="190"/>
      <c r="V1625" s="190"/>
      <c r="W1625" s="190"/>
      <c r="X1625" s="190"/>
      <c r="Y1625" s="190"/>
      <c r="Z1625" s="190"/>
      <c r="AA1625" s="190"/>
    </row>
    <row r="1626" spans="10:27" x14ac:dyDescent="0.25">
      <c r="J1626" s="190"/>
      <c r="K1626" s="190"/>
      <c r="L1626" s="190"/>
      <c r="M1626" s="190"/>
      <c r="O1626" s="190"/>
      <c r="P1626" s="190"/>
      <c r="Q1626" s="190"/>
      <c r="R1626" s="190"/>
      <c r="S1626" s="190"/>
      <c r="T1626" s="190"/>
      <c r="U1626" s="190"/>
      <c r="V1626" s="190"/>
      <c r="W1626" s="190"/>
      <c r="X1626" s="190"/>
      <c r="Y1626" s="190"/>
      <c r="Z1626" s="190"/>
      <c r="AA1626" s="190"/>
    </row>
    <row r="1627" spans="10:27" x14ac:dyDescent="0.25">
      <c r="J1627" s="190"/>
      <c r="K1627" s="190"/>
      <c r="L1627" s="190"/>
      <c r="M1627" s="190"/>
      <c r="O1627" s="190"/>
      <c r="P1627" s="190"/>
      <c r="Q1627" s="190"/>
      <c r="R1627" s="190"/>
      <c r="S1627" s="190"/>
      <c r="T1627" s="190"/>
      <c r="U1627" s="190"/>
      <c r="V1627" s="190"/>
      <c r="W1627" s="190"/>
      <c r="X1627" s="190"/>
      <c r="Y1627" s="190"/>
      <c r="Z1627" s="190"/>
      <c r="AA1627" s="190"/>
    </row>
    <row r="1628" spans="10:27" x14ac:dyDescent="0.25">
      <c r="J1628" s="190"/>
      <c r="K1628" s="190"/>
      <c r="L1628" s="190"/>
      <c r="M1628" s="190"/>
      <c r="O1628" s="190"/>
      <c r="P1628" s="190"/>
      <c r="Q1628" s="190"/>
      <c r="R1628" s="190"/>
      <c r="S1628" s="190"/>
      <c r="T1628" s="190"/>
      <c r="U1628" s="190"/>
      <c r="V1628" s="190"/>
      <c r="W1628" s="190"/>
      <c r="X1628" s="190"/>
      <c r="Y1628" s="190"/>
      <c r="Z1628" s="190"/>
      <c r="AA1628" s="190"/>
    </row>
    <row r="1629" spans="10:27" x14ac:dyDescent="0.25">
      <c r="J1629" s="190"/>
      <c r="K1629" s="190"/>
      <c r="L1629" s="190"/>
      <c r="M1629" s="190"/>
      <c r="O1629" s="190"/>
      <c r="P1629" s="190"/>
      <c r="Q1629" s="190"/>
      <c r="R1629" s="190"/>
      <c r="S1629" s="190"/>
      <c r="T1629" s="190"/>
      <c r="U1629" s="190"/>
      <c r="V1629" s="190"/>
      <c r="W1629" s="190"/>
      <c r="X1629" s="190"/>
      <c r="Y1629" s="190"/>
      <c r="Z1629" s="190"/>
      <c r="AA1629" s="190"/>
    </row>
    <row r="1630" spans="10:27" x14ac:dyDescent="0.25">
      <c r="J1630" s="190"/>
      <c r="K1630" s="190"/>
      <c r="L1630" s="190"/>
      <c r="M1630" s="190"/>
      <c r="O1630" s="190"/>
      <c r="P1630" s="190"/>
      <c r="Q1630" s="190"/>
      <c r="R1630" s="190"/>
      <c r="S1630" s="190"/>
      <c r="T1630" s="190"/>
      <c r="U1630" s="190"/>
      <c r="V1630" s="190"/>
      <c r="W1630" s="190"/>
      <c r="X1630" s="190"/>
      <c r="Y1630" s="190"/>
      <c r="Z1630" s="190"/>
      <c r="AA1630" s="190"/>
    </row>
    <row r="1631" spans="10:27" x14ac:dyDescent="0.25">
      <c r="J1631" s="190"/>
      <c r="K1631" s="190"/>
      <c r="L1631" s="190"/>
      <c r="M1631" s="190"/>
      <c r="O1631" s="190"/>
      <c r="P1631" s="190"/>
      <c r="Q1631" s="190"/>
      <c r="R1631" s="190"/>
      <c r="S1631" s="190"/>
      <c r="T1631" s="190"/>
      <c r="U1631" s="190"/>
      <c r="V1631" s="190"/>
      <c r="W1631" s="190"/>
      <c r="X1631" s="190"/>
      <c r="Y1631" s="190"/>
      <c r="Z1631" s="190"/>
      <c r="AA1631" s="190"/>
    </row>
    <row r="1632" spans="10:27" x14ac:dyDescent="0.25">
      <c r="J1632" s="190"/>
      <c r="K1632" s="190"/>
      <c r="L1632" s="190"/>
      <c r="M1632" s="190"/>
      <c r="O1632" s="190"/>
      <c r="P1632" s="190"/>
      <c r="Q1632" s="190"/>
      <c r="R1632" s="190"/>
      <c r="S1632" s="190"/>
      <c r="T1632" s="190"/>
      <c r="U1632" s="190"/>
      <c r="V1632" s="190"/>
      <c r="W1632" s="190"/>
      <c r="X1632" s="190"/>
      <c r="Y1632" s="190"/>
      <c r="Z1632" s="190"/>
      <c r="AA1632" s="190"/>
    </row>
    <row r="1633" spans="10:27" x14ac:dyDescent="0.25">
      <c r="J1633" s="190"/>
      <c r="K1633" s="190"/>
      <c r="L1633" s="190"/>
      <c r="M1633" s="190"/>
      <c r="O1633" s="190"/>
      <c r="P1633" s="190"/>
      <c r="Q1633" s="190"/>
      <c r="R1633" s="190"/>
      <c r="S1633" s="190"/>
      <c r="T1633" s="190"/>
      <c r="U1633" s="190"/>
      <c r="V1633" s="190"/>
      <c r="W1633" s="190"/>
      <c r="X1633" s="190"/>
      <c r="Y1633" s="190"/>
      <c r="Z1633" s="190"/>
      <c r="AA1633" s="190"/>
    </row>
    <row r="1634" spans="10:27" x14ac:dyDescent="0.25">
      <c r="J1634" s="190"/>
      <c r="K1634" s="190"/>
      <c r="L1634" s="190"/>
      <c r="M1634" s="190"/>
      <c r="O1634" s="190"/>
      <c r="P1634" s="190"/>
      <c r="Q1634" s="190"/>
      <c r="R1634" s="190"/>
      <c r="S1634" s="190"/>
      <c r="T1634" s="190"/>
      <c r="U1634" s="190"/>
      <c r="V1634" s="190"/>
      <c r="W1634" s="190"/>
      <c r="X1634" s="190"/>
      <c r="Y1634" s="190"/>
      <c r="Z1634" s="190"/>
      <c r="AA1634" s="190"/>
    </row>
    <row r="1635" spans="10:27" x14ac:dyDescent="0.25">
      <c r="J1635" s="190"/>
      <c r="K1635" s="190"/>
      <c r="L1635" s="190"/>
      <c r="M1635" s="190"/>
      <c r="O1635" s="190"/>
      <c r="P1635" s="190"/>
      <c r="Q1635" s="190"/>
      <c r="R1635" s="190"/>
      <c r="S1635" s="190"/>
      <c r="T1635" s="190"/>
      <c r="U1635" s="190"/>
      <c r="V1635" s="190"/>
      <c r="W1635" s="190"/>
      <c r="X1635" s="190"/>
      <c r="Y1635" s="190"/>
      <c r="Z1635" s="190"/>
      <c r="AA1635" s="190"/>
    </row>
    <row r="1636" spans="10:27" x14ac:dyDescent="0.25">
      <c r="J1636" s="190"/>
      <c r="K1636" s="190"/>
      <c r="L1636" s="190"/>
      <c r="M1636" s="190"/>
      <c r="O1636" s="190"/>
      <c r="P1636" s="190"/>
      <c r="Q1636" s="190"/>
      <c r="R1636" s="190"/>
      <c r="S1636" s="190"/>
      <c r="T1636" s="190"/>
      <c r="U1636" s="190"/>
      <c r="V1636" s="190"/>
      <c r="W1636" s="190"/>
      <c r="X1636" s="190"/>
      <c r="Y1636" s="190"/>
      <c r="Z1636" s="190"/>
      <c r="AA1636" s="190"/>
    </row>
    <row r="1637" spans="10:27" x14ac:dyDescent="0.25">
      <c r="J1637" s="190"/>
      <c r="K1637" s="190"/>
      <c r="L1637" s="190"/>
      <c r="M1637" s="190"/>
      <c r="O1637" s="190"/>
      <c r="P1637" s="190"/>
      <c r="Q1637" s="190"/>
      <c r="R1637" s="190"/>
      <c r="S1637" s="190"/>
      <c r="T1637" s="190"/>
      <c r="U1637" s="190"/>
      <c r="V1637" s="190"/>
      <c r="W1637" s="190"/>
      <c r="X1637" s="190"/>
      <c r="Y1637" s="190"/>
      <c r="Z1637" s="190"/>
      <c r="AA1637" s="190"/>
    </row>
    <row r="1638" spans="10:27" x14ac:dyDescent="0.25">
      <c r="J1638" s="190"/>
      <c r="K1638" s="190"/>
      <c r="L1638" s="190"/>
      <c r="M1638" s="190"/>
      <c r="O1638" s="190"/>
      <c r="P1638" s="190"/>
      <c r="Q1638" s="190"/>
      <c r="R1638" s="190"/>
      <c r="S1638" s="190"/>
      <c r="T1638" s="190"/>
      <c r="U1638" s="190"/>
      <c r="V1638" s="190"/>
      <c r="W1638" s="190"/>
      <c r="X1638" s="190"/>
      <c r="Y1638" s="190"/>
      <c r="Z1638" s="190"/>
      <c r="AA1638" s="190"/>
    </row>
    <row r="1639" spans="10:27" x14ac:dyDescent="0.25">
      <c r="J1639" s="190"/>
      <c r="K1639" s="190"/>
      <c r="L1639" s="190"/>
      <c r="M1639" s="190"/>
      <c r="O1639" s="190"/>
      <c r="P1639" s="190"/>
      <c r="Q1639" s="190"/>
      <c r="R1639" s="190"/>
      <c r="S1639" s="190"/>
      <c r="T1639" s="190"/>
      <c r="U1639" s="190"/>
      <c r="V1639" s="190"/>
      <c r="W1639" s="190"/>
      <c r="X1639" s="190"/>
      <c r="Y1639" s="190"/>
      <c r="Z1639" s="190"/>
      <c r="AA1639" s="190"/>
    </row>
    <row r="1640" spans="10:27" x14ac:dyDescent="0.25">
      <c r="J1640" s="190"/>
      <c r="K1640" s="190"/>
      <c r="L1640" s="190"/>
      <c r="M1640" s="190"/>
      <c r="O1640" s="190"/>
      <c r="P1640" s="190"/>
      <c r="Q1640" s="190"/>
      <c r="R1640" s="190"/>
      <c r="S1640" s="190"/>
      <c r="T1640" s="190"/>
      <c r="U1640" s="190"/>
      <c r="V1640" s="190"/>
      <c r="W1640" s="190"/>
      <c r="X1640" s="190"/>
      <c r="Y1640" s="190"/>
      <c r="Z1640" s="190"/>
      <c r="AA1640" s="190"/>
    </row>
    <row r="1641" spans="10:27" x14ac:dyDescent="0.25">
      <c r="J1641" s="190"/>
      <c r="K1641" s="190"/>
      <c r="L1641" s="190"/>
      <c r="M1641" s="190"/>
      <c r="O1641" s="190"/>
      <c r="P1641" s="190"/>
      <c r="Q1641" s="190"/>
      <c r="R1641" s="190"/>
      <c r="S1641" s="190"/>
      <c r="T1641" s="190"/>
      <c r="U1641" s="190"/>
      <c r="V1641" s="190"/>
      <c r="W1641" s="190"/>
      <c r="X1641" s="190"/>
      <c r="Y1641" s="190"/>
      <c r="Z1641" s="190"/>
      <c r="AA1641" s="190"/>
    </row>
    <row r="1642" spans="10:27" x14ac:dyDescent="0.25">
      <c r="J1642" s="190"/>
      <c r="K1642" s="190"/>
      <c r="L1642" s="190"/>
      <c r="M1642" s="190"/>
      <c r="O1642" s="190"/>
      <c r="P1642" s="190"/>
      <c r="Q1642" s="190"/>
      <c r="R1642" s="190"/>
      <c r="S1642" s="190"/>
      <c r="T1642" s="190"/>
      <c r="U1642" s="190"/>
      <c r="V1642" s="190"/>
      <c r="W1642" s="190"/>
      <c r="X1642" s="190"/>
      <c r="Y1642" s="190"/>
      <c r="Z1642" s="190"/>
      <c r="AA1642" s="190"/>
    </row>
    <row r="1643" spans="10:27" x14ac:dyDescent="0.25">
      <c r="J1643" s="190"/>
      <c r="K1643" s="190"/>
      <c r="L1643" s="190"/>
      <c r="M1643" s="190"/>
      <c r="O1643" s="190"/>
      <c r="P1643" s="190"/>
      <c r="Q1643" s="190"/>
      <c r="R1643" s="190"/>
      <c r="S1643" s="190"/>
      <c r="T1643" s="190"/>
      <c r="U1643" s="190"/>
      <c r="V1643" s="190"/>
      <c r="W1643" s="190"/>
      <c r="X1643" s="190"/>
      <c r="Y1643" s="190"/>
      <c r="Z1643" s="190"/>
      <c r="AA1643" s="190"/>
    </row>
    <row r="1644" spans="10:27" x14ac:dyDescent="0.25">
      <c r="J1644" s="190"/>
      <c r="K1644" s="190"/>
      <c r="L1644" s="190"/>
      <c r="M1644" s="190"/>
      <c r="O1644" s="190"/>
      <c r="P1644" s="190"/>
      <c r="Q1644" s="190"/>
      <c r="R1644" s="190"/>
      <c r="S1644" s="190"/>
      <c r="T1644" s="190"/>
      <c r="U1644" s="190"/>
      <c r="V1644" s="190"/>
      <c r="W1644" s="190"/>
      <c r="X1644" s="190"/>
      <c r="Y1644" s="190"/>
      <c r="Z1644" s="190"/>
      <c r="AA1644" s="190"/>
    </row>
    <row r="1645" spans="10:27" x14ac:dyDescent="0.25">
      <c r="J1645" s="190"/>
      <c r="K1645" s="190"/>
      <c r="L1645" s="190"/>
      <c r="M1645" s="190"/>
      <c r="O1645" s="190"/>
      <c r="P1645" s="190"/>
      <c r="Q1645" s="190"/>
      <c r="R1645" s="190"/>
      <c r="S1645" s="190"/>
      <c r="T1645" s="190"/>
      <c r="U1645" s="190"/>
      <c r="V1645" s="190"/>
      <c r="W1645" s="190"/>
      <c r="X1645" s="190"/>
      <c r="Y1645" s="190"/>
      <c r="Z1645" s="190"/>
      <c r="AA1645" s="190"/>
    </row>
    <row r="1646" spans="10:27" x14ac:dyDescent="0.25">
      <c r="J1646" s="190"/>
      <c r="K1646" s="190"/>
      <c r="L1646" s="190"/>
      <c r="M1646" s="190"/>
      <c r="O1646" s="190"/>
      <c r="P1646" s="190"/>
      <c r="Q1646" s="190"/>
      <c r="R1646" s="190"/>
      <c r="S1646" s="190"/>
      <c r="T1646" s="190"/>
      <c r="U1646" s="190"/>
      <c r="V1646" s="190"/>
      <c r="W1646" s="190"/>
      <c r="X1646" s="190"/>
      <c r="Y1646" s="190"/>
      <c r="Z1646" s="190"/>
      <c r="AA1646" s="190"/>
    </row>
    <row r="1647" spans="10:27" x14ac:dyDescent="0.25">
      <c r="J1647" s="190"/>
      <c r="K1647" s="190"/>
      <c r="L1647" s="190"/>
      <c r="M1647" s="190"/>
      <c r="O1647" s="190"/>
      <c r="P1647" s="190"/>
      <c r="Q1647" s="190"/>
      <c r="R1647" s="190"/>
      <c r="S1647" s="190"/>
      <c r="T1647" s="190"/>
      <c r="U1647" s="190"/>
      <c r="V1647" s="190"/>
      <c r="W1647" s="190"/>
      <c r="X1647" s="190"/>
      <c r="Y1647" s="190"/>
      <c r="Z1647" s="190"/>
      <c r="AA1647" s="190"/>
    </row>
    <row r="1648" spans="10:27" x14ac:dyDescent="0.25">
      <c r="J1648" s="190"/>
      <c r="K1648" s="190"/>
      <c r="L1648" s="190"/>
      <c r="M1648" s="190"/>
      <c r="O1648" s="190"/>
      <c r="P1648" s="190"/>
      <c r="Q1648" s="190"/>
      <c r="R1648" s="190"/>
      <c r="S1648" s="190"/>
      <c r="T1648" s="190"/>
      <c r="U1648" s="190"/>
      <c r="V1648" s="190"/>
      <c r="W1648" s="190"/>
      <c r="X1648" s="190"/>
      <c r="Y1648" s="190"/>
      <c r="Z1648" s="190"/>
      <c r="AA1648" s="190"/>
    </row>
    <row r="1649" spans="10:27" x14ac:dyDescent="0.25">
      <c r="J1649" s="190"/>
      <c r="K1649" s="190"/>
      <c r="L1649" s="190"/>
      <c r="M1649" s="190"/>
      <c r="O1649" s="190"/>
      <c r="P1649" s="190"/>
      <c r="Q1649" s="190"/>
      <c r="R1649" s="190"/>
      <c r="S1649" s="190"/>
      <c r="T1649" s="190"/>
      <c r="U1649" s="190"/>
      <c r="V1649" s="190"/>
      <c r="W1649" s="190"/>
      <c r="X1649" s="190"/>
      <c r="Y1649" s="190"/>
      <c r="Z1649" s="190"/>
      <c r="AA1649" s="190"/>
    </row>
    <row r="1650" spans="10:27" x14ac:dyDescent="0.25">
      <c r="J1650" s="190"/>
      <c r="K1650" s="190"/>
      <c r="L1650" s="190"/>
      <c r="M1650" s="190"/>
      <c r="O1650" s="190"/>
      <c r="P1650" s="190"/>
      <c r="Q1650" s="190"/>
      <c r="R1650" s="190"/>
      <c r="S1650" s="190"/>
      <c r="T1650" s="190"/>
      <c r="U1650" s="190"/>
      <c r="V1650" s="190"/>
      <c r="W1650" s="190"/>
      <c r="X1650" s="190"/>
      <c r="Y1650" s="190"/>
      <c r="Z1650" s="190"/>
      <c r="AA1650" s="190"/>
    </row>
    <row r="1651" spans="10:27" x14ac:dyDescent="0.25">
      <c r="J1651" s="190"/>
      <c r="K1651" s="190"/>
      <c r="L1651" s="190"/>
      <c r="M1651" s="190"/>
      <c r="O1651" s="190"/>
      <c r="P1651" s="190"/>
      <c r="Q1651" s="190"/>
      <c r="R1651" s="190"/>
      <c r="S1651" s="190"/>
      <c r="T1651" s="190"/>
      <c r="U1651" s="190"/>
      <c r="V1651" s="190"/>
      <c r="W1651" s="190"/>
      <c r="X1651" s="190"/>
      <c r="Y1651" s="190"/>
      <c r="Z1651" s="190"/>
      <c r="AA1651" s="190"/>
    </row>
    <row r="1652" spans="10:27" x14ac:dyDescent="0.25">
      <c r="J1652" s="190"/>
      <c r="K1652" s="190"/>
      <c r="L1652" s="190"/>
      <c r="M1652" s="190"/>
      <c r="O1652" s="190"/>
      <c r="P1652" s="190"/>
      <c r="Q1652" s="190"/>
      <c r="R1652" s="190"/>
      <c r="S1652" s="190"/>
      <c r="T1652" s="190"/>
      <c r="U1652" s="190"/>
      <c r="V1652" s="190"/>
      <c r="W1652" s="190"/>
      <c r="X1652" s="190"/>
      <c r="Y1652" s="190"/>
      <c r="Z1652" s="190"/>
      <c r="AA1652" s="190"/>
    </row>
    <row r="1653" spans="10:27" x14ac:dyDescent="0.25">
      <c r="J1653" s="190"/>
      <c r="K1653" s="190"/>
      <c r="L1653" s="190"/>
      <c r="M1653" s="190"/>
      <c r="O1653" s="190"/>
      <c r="P1653" s="190"/>
      <c r="Q1653" s="190"/>
      <c r="R1653" s="190"/>
      <c r="S1653" s="190"/>
      <c r="T1653" s="190"/>
      <c r="U1653" s="190"/>
      <c r="V1653" s="190"/>
      <c r="W1653" s="190"/>
      <c r="X1653" s="190"/>
      <c r="Y1653" s="190"/>
      <c r="Z1653" s="190"/>
      <c r="AA1653" s="190"/>
    </row>
    <row r="1654" spans="10:27" x14ac:dyDescent="0.25">
      <c r="J1654" s="190"/>
      <c r="K1654" s="190"/>
      <c r="L1654" s="190"/>
      <c r="M1654" s="190"/>
      <c r="O1654" s="190"/>
      <c r="P1654" s="190"/>
      <c r="Q1654" s="190"/>
      <c r="R1654" s="190"/>
      <c r="S1654" s="190"/>
      <c r="T1654" s="190"/>
      <c r="U1654" s="190"/>
      <c r="V1654" s="190"/>
      <c r="W1654" s="190"/>
      <c r="X1654" s="190"/>
      <c r="Y1654" s="190"/>
      <c r="Z1654" s="190"/>
      <c r="AA1654" s="190"/>
    </row>
    <row r="1655" spans="10:27" x14ac:dyDescent="0.25">
      <c r="J1655" s="190"/>
      <c r="K1655" s="190"/>
      <c r="L1655" s="190"/>
      <c r="M1655" s="190"/>
      <c r="O1655" s="190"/>
      <c r="P1655" s="190"/>
      <c r="Q1655" s="190"/>
      <c r="R1655" s="190"/>
      <c r="S1655" s="190"/>
      <c r="T1655" s="190"/>
      <c r="U1655" s="190"/>
      <c r="V1655" s="190"/>
      <c r="W1655" s="190"/>
      <c r="X1655" s="190"/>
      <c r="Y1655" s="190"/>
      <c r="Z1655" s="190"/>
      <c r="AA1655" s="190"/>
    </row>
    <row r="1656" spans="10:27" x14ac:dyDescent="0.25">
      <c r="J1656" s="190"/>
      <c r="K1656" s="190"/>
      <c r="L1656" s="190"/>
      <c r="M1656" s="190"/>
      <c r="O1656" s="190"/>
      <c r="P1656" s="190"/>
      <c r="Q1656" s="190"/>
      <c r="R1656" s="190"/>
      <c r="S1656" s="190"/>
      <c r="T1656" s="190"/>
      <c r="U1656" s="190"/>
      <c r="V1656" s="190"/>
      <c r="W1656" s="190"/>
      <c r="X1656" s="190"/>
      <c r="Y1656" s="190"/>
      <c r="Z1656" s="190"/>
      <c r="AA1656" s="190"/>
    </row>
    <row r="1657" spans="10:27" x14ac:dyDescent="0.25">
      <c r="J1657" s="190"/>
      <c r="K1657" s="190"/>
      <c r="L1657" s="190"/>
      <c r="M1657" s="190"/>
      <c r="O1657" s="190"/>
      <c r="P1657" s="190"/>
      <c r="Q1657" s="190"/>
      <c r="R1657" s="190"/>
      <c r="S1657" s="190"/>
      <c r="T1657" s="190"/>
      <c r="U1657" s="190"/>
      <c r="V1657" s="190"/>
      <c r="W1657" s="190"/>
      <c r="X1657" s="190"/>
      <c r="Y1657" s="190"/>
      <c r="Z1657" s="190"/>
      <c r="AA1657" s="190"/>
    </row>
    <row r="1658" spans="10:27" x14ac:dyDescent="0.25">
      <c r="J1658" s="190"/>
      <c r="K1658" s="190"/>
      <c r="L1658" s="190"/>
      <c r="M1658" s="190"/>
      <c r="O1658" s="190"/>
      <c r="P1658" s="190"/>
      <c r="Q1658" s="190"/>
      <c r="R1658" s="190"/>
      <c r="S1658" s="190"/>
      <c r="T1658" s="190"/>
      <c r="U1658" s="190"/>
      <c r="V1658" s="190"/>
      <c r="W1658" s="190"/>
      <c r="X1658" s="190"/>
      <c r="Y1658" s="190"/>
      <c r="Z1658" s="190"/>
      <c r="AA1658" s="190"/>
    </row>
    <row r="1659" spans="10:27" x14ac:dyDescent="0.25">
      <c r="J1659" s="190"/>
      <c r="K1659" s="190"/>
      <c r="L1659" s="190"/>
      <c r="M1659" s="190"/>
      <c r="O1659" s="190"/>
      <c r="P1659" s="190"/>
      <c r="Q1659" s="190"/>
      <c r="R1659" s="190"/>
      <c r="S1659" s="190"/>
      <c r="T1659" s="190"/>
      <c r="U1659" s="190"/>
      <c r="V1659" s="190"/>
      <c r="W1659" s="190"/>
      <c r="X1659" s="190"/>
      <c r="Y1659" s="190"/>
      <c r="Z1659" s="190"/>
      <c r="AA1659" s="190"/>
    </row>
    <row r="1660" spans="10:27" x14ac:dyDescent="0.25">
      <c r="J1660" s="190"/>
      <c r="K1660" s="190"/>
      <c r="L1660" s="190"/>
      <c r="M1660" s="190"/>
      <c r="O1660" s="190"/>
      <c r="P1660" s="190"/>
      <c r="Q1660" s="190"/>
      <c r="R1660" s="190"/>
      <c r="S1660" s="190"/>
      <c r="T1660" s="190"/>
      <c r="U1660" s="190"/>
      <c r="V1660" s="190"/>
      <c r="W1660" s="190"/>
      <c r="X1660" s="190"/>
      <c r="Y1660" s="190"/>
      <c r="Z1660" s="190"/>
      <c r="AA1660" s="190"/>
    </row>
    <row r="1661" spans="10:27" x14ac:dyDescent="0.25">
      <c r="J1661" s="190"/>
      <c r="K1661" s="190"/>
      <c r="L1661" s="190"/>
      <c r="M1661" s="190"/>
      <c r="O1661" s="190"/>
      <c r="P1661" s="190"/>
      <c r="Q1661" s="190"/>
      <c r="R1661" s="190"/>
      <c r="S1661" s="190"/>
      <c r="T1661" s="190"/>
      <c r="U1661" s="190"/>
      <c r="V1661" s="190"/>
      <c r="W1661" s="190"/>
      <c r="X1661" s="190"/>
      <c r="Y1661" s="190"/>
      <c r="Z1661" s="190"/>
      <c r="AA1661" s="190"/>
    </row>
    <row r="1662" spans="10:27" x14ac:dyDescent="0.25">
      <c r="J1662" s="190"/>
      <c r="K1662" s="190"/>
      <c r="L1662" s="190"/>
      <c r="M1662" s="190"/>
      <c r="O1662" s="190"/>
      <c r="P1662" s="190"/>
      <c r="Q1662" s="190"/>
      <c r="R1662" s="190"/>
      <c r="S1662" s="190"/>
      <c r="T1662" s="190"/>
      <c r="U1662" s="190"/>
      <c r="V1662" s="190"/>
      <c r="W1662" s="190"/>
      <c r="X1662" s="190"/>
      <c r="Y1662" s="190"/>
      <c r="Z1662" s="190"/>
      <c r="AA1662" s="190"/>
    </row>
    <row r="1663" spans="10:27" x14ac:dyDescent="0.25">
      <c r="J1663" s="190"/>
      <c r="K1663" s="190"/>
      <c r="L1663" s="190"/>
      <c r="M1663" s="190"/>
      <c r="O1663" s="190"/>
      <c r="P1663" s="190"/>
      <c r="Q1663" s="190"/>
      <c r="R1663" s="190"/>
      <c r="S1663" s="190"/>
      <c r="T1663" s="190"/>
      <c r="U1663" s="190"/>
      <c r="V1663" s="190"/>
      <c r="W1663" s="190"/>
      <c r="X1663" s="190"/>
      <c r="Y1663" s="190"/>
      <c r="Z1663" s="190"/>
      <c r="AA1663" s="190"/>
    </row>
    <row r="1664" spans="10:27" x14ac:dyDescent="0.25">
      <c r="J1664" s="190"/>
      <c r="K1664" s="190"/>
      <c r="L1664" s="190"/>
      <c r="M1664" s="190"/>
      <c r="O1664" s="190"/>
      <c r="P1664" s="190"/>
      <c r="Q1664" s="190"/>
      <c r="R1664" s="190"/>
      <c r="S1664" s="190"/>
      <c r="T1664" s="190"/>
      <c r="U1664" s="190"/>
      <c r="V1664" s="190"/>
      <c r="W1664" s="190"/>
      <c r="X1664" s="190"/>
      <c r="Y1664" s="190"/>
      <c r="Z1664" s="190"/>
      <c r="AA1664" s="190"/>
    </row>
    <row r="1665" spans="10:27" x14ac:dyDescent="0.25">
      <c r="J1665" s="190"/>
      <c r="K1665" s="190"/>
      <c r="L1665" s="190"/>
      <c r="M1665" s="190"/>
      <c r="O1665" s="190"/>
      <c r="P1665" s="190"/>
      <c r="Q1665" s="190"/>
      <c r="R1665" s="190"/>
      <c r="S1665" s="190"/>
      <c r="T1665" s="190"/>
      <c r="U1665" s="190"/>
      <c r="V1665" s="190"/>
      <c r="W1665" s="190"/>
      <c r="X1665" s="190"/>
      <c r="Y1665" s="190"/>
      <c r="Z1665" s="190"/>
      <c r="AA1665" s="190"/>
    </row>
    <row r="1666" spans="10:27" x14ac:dyDescent="0.25">
      <c r="J1666" s="190"/>
      <c r="K1666" s="190"/>
      <c r="L1666" s="190"/>
      <c r="M1666" s="190"/>
      <c r="O1666" s="190"/>
      <c r="P1666" s="190"/>
      <c r="Q1666" s="190"/>
      <c r="R1666" s="190"/>
      <c r="S1666" s="190"/>
      <c r="T1666" s="190"/>
      <c r="U1666" s="190"/>
      <c r="V1666" s="190"/>
      <c r="W1666" s="190"/>
      <c r="X1666" s="190"/>
      <c r="Y1666" s="190"/>
      <c r="Z1666" s="190"/>
      <c r="AA1666" s="190"/>
    </row>
    <row r="1667" spans="10:27" x14ac:dyDescent="0.25">
      <c r="J1667" s="190"/>
      <c r="K1667" s="190"/>
      <c r="L1667" s="190"/>
      <c r="M1667" s="190"/>
      <c r="O1667" s="190"/>
      <c r="P1667" s="190"/>
      <c r="Q1667" s="190"/>
      <c r="R1667" s="190"/>
      <c r="S1667" s="190"/>
      <c r="T1667" s="190"/>
      <c r="U1667" s="190"/>
      <c r="V1667" s="190"/>
      <c r="W1667" s="190"/>
      <c r="X1667" s="190"/>
      <c r="Y1667" s="190"/>
      <c r="Z1667" s="190"/>
      <c r="AA1667" s="190"/>
    </row>
    <row r="1668" spans="10:27" x14ac:dyDescent="0.25">
      <c r="J1668" s="190"/>
      <c r="K1668" s="190"/>
      <c r="L1668" s="190"/>
      <c r="M1668" s="190"/>
      <c r="O1668" s="190"/>
      <c r="P1668" s="190"/>
      <c r="Q1668" s="190"/>
      <c r="R1668" s="190"/>
      <c r="S1668" s="190"/>
      <c r="T1668" s="190"/>
      <c r="U1668" s="190"/>
      <c r="V1668" s="190"/>
      <c r="W1668" s="190"/>
      <c r="X1668" s="190"/>
      <c r="Y1668" s="190"/>
      <c r="Z1668" s="190"/>
      <c r="AA1668" s="190"/>
    </row>
    <row r="1669" spans="10:27" x14ac:dyDescent="0.25">
      <c r="J1669" s="190"/>
      <c r="K1669" s="190"/>
      <c r="L1669" s="190"/>
      <c r="M1669" s="190"/>
      <c r="O1669" s="190"/>
      <c r="P1669" s="190"/>
      <c r="Q1669" s="190"/>
      <c r="R1669" s="190"/>
      <c r="S1669" s="190"/>
      <c r="T1669" s="190"/>
      <c r="U1669" s="190"/>
      <c r="V1669" s="190"/>
      <c r="W1669" s="190"/>
      <c r="X1669" s="190"/>
      <c r="Y1669" s="190"/>
      <c r="Z1669" s="190"/>
      <c r="AA1669" s="190"/>
    </row>
    <row r="1670" spans="10:27" x14ac:dyDescent="0.25">
      <c r="J1670" s="190"/>
      <c r="K1670" s="190"/>
      <c r="L1670" s="190"/>
      <c r="M1670" s="190"/>
      <c r="O1670" s="190"/>
      <c r="P1670" s="190"/>
      <c r="Q1670" s="190"/>
      <c r="R1670" s="190"/>
      <c r="S1670" s="190"/>
      <c r="T1670" s="190"/>
      <c r="U1670" s="190"/>
      <c r="V1670" s="190"/>
      <c r="W1670" s="190"/>
      <c r="X1670" s="190"/>
      <c r="Y1670" s="190"/>
      <c r="Z1670" s="190"/>
      <c r="AA1670" s="190"/>
    </row>
    <row r="1671" spans="10:27" x14ac:dyDescent="0.25">
      <c r="J1671" s="190"/>
      <c r="K1671" s="190"/>
      <c r="L1671" s="190"/>
      <c r="M1671" s="190"/>
      <c r="O1671" s="190"/>
      <c r="P1671" s="190"/>
      <c r="Q1671" s="190"/>
      <c r="R1671" s="190"/>
      <c r="S1671" s="190"/>
      <c r="T1671" s="190"/>
      <c r="U1671" s="190"/>
      <c r="V1671" s="190"/>
      <c r="W1671" s="190"/>
      <c r="X1671" s="190"/>
      <c r="Y1671" s="190"/>
      <c r="Z1671" s="190"/>
      <c r="AA1671" s="190"/>
    </row>
    <row r="1672" spans="10:27" x14ac:dyDescent="0.25">
      <c r="J1672" s="190"/>
      <c r="K1672" s="190"/>
      <c r="L1672" s="190"/>
      <c r="M1672" s="190"/>
      <c r="O1672" s="190"/>
      <c r="P1672" s="190"/>
      <c r="Q1672" s="190"/>
      <c r="R1672" s="190"/>
      <c r="S1672" s="190"/>
      <c r="T1672" s="190"/>
      <c r="U1672" s="190"/>
      <c r="V1672" s="190"/>
      <c r="W1672" s="190"/>
      <c r="X1672" s="190"/>
      <c r="Y1672" s="190"/>
      <c r="Z1672" s="190"/>
      <c r="AA1672" s="190"/>
    </row>
    <row r="1673" spans="10:27" x14ac:dyDescent="0.25">
      <c r="J1673" s="190"/>
      <c r="K1673" s="190"/>
      <c r="L1673" s="190"/>
      <c r="M1673" s="190"/>
      <c r="O1673" s="190"/>
      <c r="P1673" s="190"/>
      <c r="Q1673" s="190"/>
      <c r="R1673" s="190"/>
      <c r="S1673" s="190"/>
      <c r="T1673" s="190"/>
      <c r="U1673" s="190"/>
      <c r="V1673" s="190"/>
      <c r="W1673" s="190"/>
      <c r="X1673" s="190"/>
      <c r="Y1673" s="190"/>
      <c r="Z1673" s="190"/>
      <c r="AA1673" s="190"/>
    </row>
    <row r="1674" spans="10:27" x14ac:dyDescent="0.25">
      <c r="J1674" s="190"/>
      <c r="K1674" s="190"/>
      <c r="L1674" s="190"/>
      <c r="M1674" s="190"/>
      <c r="O1674" s="190"/>
      <c r="P1674" s="190"/>
      <c r="Q1674" s="190"/>
      <c r="R1674" s="190"/>
      <c r="S1674" s="190"/>
      <c r="T1674" s="190"/>
      <c r="U1674" s="190"/>
      <c r="V1674" s="190"/>
      <c r="W1674" s="190"/>
      <c r="X1674" s="190"/>
      <c r="Y1674" s="190"/>
      <c r="Z1674" s="190"/>
      <c r="AA1674" s="190"/>
    </row>
    <row r="1675" spans="10:27" x14ac:dyDescent="0.25">
      <c r="J1675" s="190"/>
      <c r="K1675" s="190"/>
      <c r="L1675" s="190"/>
      <c r="M1675" s="190"/>
      <c r="O1675" s="190"/>
      <c r="P1675" s="190"/>
      <c r="Q1675" s="190"/>
      <c r="R1675" s="190"/>
      <c r="S1675" s="190"/>
      <c r="T1675" s="190"/>
      <c r="U1675" s="190"/>
      <c r="V1675" s="190"/>
      <c r="W1675" s="190"/>
      <c r="X1675" s="190"/>
      <c r="Y1675" s="190"/>
      <c r="Z1675" s="190"/>
      <c r="AA1675" s="190"/>
    </row>
    <row r="1676" spans="10:27" x14ac:dyDescent="0.25">
      <c r="J1676" s="190"/>
      <c r="K1676" s="190"/>
      <c r="L1676" s="190"/>
      <c r="M1676" s="190"/>
      <c r="O1676" s="190"/>
      <c r="P1676" s="190"/>
      <c r="Q1676" s="190"/>
      <c r="R1676" s="190"/>
      <c r="S1676" s="190"/>
      <c r="T1676" s="190"/>
      <c r="U1676" s="190"/>
      <c r="V1676" s="190"/>
      <c r="W1676" s="190"/>
      <c r="X1676" s="190"/>
      <c r="Y1676" s="190"/>
      <c r="Z1676" s="190"/>
      <c r="AA1676" s="190"/>
    </row>
    <row r="1677" spans="10:27" x14ac:dyDescent="0.25">
      <c r="J1677" s="190"/>
      <c r="K1677" s="190"/>
      <c r="L1677" s="190"/>
      <c r="M1677" s="190"/>
      <c r="O1677" s="190"/>
      <c r="P1677" s="190"/>
      <c r="Q1677" s="190"/>
      <c r="R1677" s="190"/>
      <c r="S1677" s="190"/>
      <c r="T1677" s="190"/>
      <c r="U1677" s="190"/>
      <c r="V1677" s="190"/>
      <c r="W1677" s="190"/>
      <c r="X1677" s="190"/>
      <c r="Y1677" s="190"/>
      <c r="Z1677" s="190"/>
      <c r="AA1677" s="190"/>
    </row>
    <row r="1678" spans="10:27" x14ac:dyDescent="0.25">
      <c r="J1678" s="190"/>
      <c r="K1678" s="190"/>
      <c r="L1678" s="190"/>
      <c r="M1678" s="190"/>
      <c r="O1678" s="190"/>
      <c r="P1678" s="190"/>
      <c r="Q1678" s="190"/>
      <c r="R1678" s="190"/>
      <c r="S1678" s="190"/>
      <c r="T1678" s="190"/>
      <c r="U1678" s="190"/>
      <c r="V1678" s="190"/>
      <c r="W1678" s="190"/>
      <c r="X1678" s="190"/>
      <c r="Y1678" s="190"/>
      <c r="Z1678" s="190"/>
      <c r="AA1678" s="190"/>
    </row>
    <row r="1679" spans="10:27" x14ac:dyDescent="0.25">
      <c r="J1679" s="190"/>
      <c r="K1679" s="190"/>
      <c r="L1679" s="190"/>
      <c r="M1679" s="190"/>
      <c r="O1679" s="190"/>
      <c r="P1679" s="190"/>
      <c r="Q1679" s="190"/>
      <c r="R1679" s="190"/>
      <c r="S1679" s="190"/>
      <c r="T1679" s="190"/>
      <c r="U1679" s="190"/>
      <c r="V1679" s="190"/>
      <c r="W1679" s="190"/>
      <c r="X1679" s="190"/>
      <c r="Y1679" s="190"/>
      <c r="Z1679" s="190"/>
      <c r="AA1679" s="190"/>
    </row>
    <row r="1680" spans="10:27" x14ac:dyDescent="0.25">
      <c r="J1680" s="190"/>
      <c r="K1680" s="190"/>
      <c r="L1680" s="190"/>
      <c r="M1680" s="190"/>
      <c r="O1680" s="190"/>
      <c r="P1680" s="190"/>
      <c r="Q1680" s="190"/>
      <c r="R1680" s="190"/>
      <c r="S1680" s="190"/>
      <c r="T1680" s="190"/>
      <c r="U1680" s="190"/>
      <c r="V1680" s="190"/>
      <c r="W1680" s="190"/>
      <c r="X1680" s="190"/>
      <c r="Y1680" s="190"/>
      <c r="Z1680" s="190"/>
      <c r="AA1680" s="190"/>
    </row>
    <row r="1681" spans="10:27" x14ac:dyDescent="0.25">
      <c r="J1681" s="190"/>
      <c r="K1681" s="190"/>
      <c r="L1681" s="190"/>
      <c r="M1681" s="190"/>
      <c r="O1681" s="190"/>
      <c r="P1681" s="190"/>
      <c r="Q1681" s="190"/>
      <c r="R1681" s="190"/>
      <c r="S1681" s="190"/>
      <c r="T1681" s="190"/>
      <c r="U1681" s="190"/>
      <c r="V1681" s="190"/>
      <c r="W1681" s="190"/>
      <c r="X1681" s="190"/>
      <c r="Y1681" s="190"/>
      <c r="Z1681" s="190"/>
      <c r="AA1681" s="190"/>
    </row>
    <row r="1682" spans="10:27" x14ac:dyDescent="0.25">
      <c r="J1682" s="190"/>
      <c r="K1682" s="190"/>
      <c r="L1682" s="190"/>
      <c r="M1682" s="190"/>
      <c r="O1682" s="190"/>
      <c r="P1682" s="190"/>
      <c r="Q1682" s="190"/>
      <c r="R1682" s="190"/>
      <c r="S1682" s="190"/>
      <c r="T1682" s="190"/>
      <c r="U1682" s="190"/>
      <c r="V1682" s="190"/>
      <c r="W1682" s="190"/>
      <c r="X1682" s="190"/>
      <c r="Y1682" s="190"/>
      <c r="Z1682" s="190"/>
      <c r="AA1682" s="190"/>
    </row>
    <row r="1683" spans="10:27" x14ac:dyDescent="0.25">
      <c r="J1683" s="190"/>
      <c r="K1683" s="190"/>
      <c r="L1683" s="190"/>
      <c r="M1683" s="190"/>
      <c r="O1683" s="190"/>
      <c r="P1683" s="190"/>
      <c r="Q1683" s="190"/>
      <c r="R1683" s="190"/>
      <c r="S1683" s="190"/>
      <c r="T1683" s="190"/>
      <c r="U1683" s="190"/>
      <c r="V1683" s="190"/>
      <c r="W1683" s="190"/>
      <c r="X1683" s="190"/>
      <c r="Y1683" s="190"/>
      <c r="Z1683" s="190"/>
      <c r="AA1683" s="190"/>
    </row>
    <row r="1684" spans="10:27" x14ac:dyDescent="0.25">
      <c r="J1684" s="190"/>
      <c r="K1684" s="190"/>
      <c r="L1684" s="190"/>
      <c r="M1684" s="190"/>
      <c r="O1684" s="190"/>
      <c r="P1684" s="190"/>
      <c r="Q1684" s="190"/>
      <c r="R1684" s="190"/>
      <c r="S1684" s="190"/>
      <c r="T1684" s="190"/>
      <c r="U1684" s="190"/>
      <c r="V1684" s="190"/>
      <c r="W1684" s="190"/>
      <c r="X1684" s="190"/>
      <c r="Y1684" s="190"/>
      <c r="Z1684" s="190"/>
      <c r="AA1684" s="190"/>
    </row>
    <row r="1685" spans="10:27" x14ac:dyDescent="0.25">
      <c r="J1685" s="190"/>
      <c r="K1685" s="190"/>
      <c r="L1685" s="190"/>
      <c r="M1685" s="190"/>
      <c r="O1685" s="190"/>
      <c r="P1685" s="190"/>
      <c r="Q1685" s="190"/>
      <c r="R1685" s="190"/>
      <c r="S1685" s="190"/>
      <c r="T1685" s="190"/>
      <c r="U1685" s="190"/>
      <c r="V1685" s="190"/>
      <c r="W1685" s="190"/>
      <c r="X1685" s="190"/>
      <c r="Y1685" s="190"/>
      <c r="Z1685" s="190"/>
      <c r="AA1685" s="190"/>
    </row>
    <row r="1686" spans="10:27" x14ac:dyDescent="0.25">
      <c r="J1686" s="190"/>
      <c r="K1686" s="190"/>
      <c r="L1686" s="190"/>
      <c r="M1686" s="190"/>
      <c r="O1686" s="190"/>
      <c r="P1686" s="190"/>
      <c r="Q1686" s="190"/>
      <c r="R1686" s="190"/>
      <c r="S1686" s="190"/>
      <c r="T1686" s="190"/>
      <c r="U1686" s="190"/>
      <c r="V1686" s="190"/>
      <c r="W1686" s="190"/>
      <c r="X1686" s="190"/>
      <c r="Y1686" s="190"/>
      <c r="Z1686" s="190"/>
      <c r="AA1686" s="190"/>
    </row>
    <row r="1687" spans="10:27" x14ac:dyDescent="0.25">
      <c r="J1687" s="190"/>
      <c r="K1687" s="190"/>
      <c r="L1687" s="190"/>
      <c r="M1687" s="190"/>
      <c r="O1687" s="190"/>
      <c r="P1687" s="190"/>
      <c r="Q1687" s="190"/>
      <c r="R1687" s="190"/>
      <c r="S1687" s="190"/>
      <c r="T1687" s="190"/>
      <c r="U1687" s="190"/>
      <c r="V1687" s="190"/>
      <c r="W1687" s="190"/>
      <c r="X1687" s="190"/>
      <c r="Y1687" s="190"/>
      <c r="Z1687" s="190"/>
      <c r="AA1687" s="190"/>
    </row>
    <row r="1688" spans="10:27" x14ac:dyDescent="0.25">
      <c r="J1688" s="190"/>
      <c r="K1688" s="190"/>
      <c r="L1688" s="190"/>
      <c r="M1688" s="190"/>
      <c r="O1688" s="190"/>
      <c r="P1688" s="190"/>
      <c r="Q1688" s="190"/>
      <c r="R1688" s="190"/>
      <c r="S1688" s="190"/>
      <c r="T1688" s="190"/>
      <c r="U1688" s="190"/>
      <c r="V1688" s="190"/>
      <c r="W1688" s="190"/>
      <c r="X1688" s="190"/>
      <c r="Y1688" s="190"/>
      <c r="Z1688" s="190"/>
      <c r="AA1688" s="190"/>
    </row>
    <row r="1689" spans="10:27" x14ac:dyDescent="0.25">
      <c r="J1689" s="190"/>
      <c r="K1689" s="190"/>
      <c r="L1689" s="190"/>
      <c r="M1689" s="190"/>
      <c r="O1689" s="190"/>
      <c r="P1689" s="190"/>
      <c r="Q1689" s="190"/>
      <c r="R1689" s="190"/>
      <c r="S1689" s="190"/>
      <c r="T1689" s="190"/>
      <c r="U1689" s="190"/>
      <c r="V1689" s="190"/>
      <c r="W1689" s="190"/>
      <c r="X1689" s="190"/>
      <c r="Y1689" s="190"/>
      <c r="Z1689" s="190"/>
      <c r="AA1689" s="190"/>
    </row>
    <row r="1690" spans="10:27" x14ac:dyDescent="0.25">
      <c r="J1690" s="190"/>
      <c r="K1690" s="190"/>
      <c r="L1690" s="190"/>
      <c r="M1690" s="190"/>
      <c r="O1690" s="190"/>
      <c r="P1690" s="190"/>
      <c r="Q1690" s="190"/>
      <c r="R1690" s="190"/>
      <c r="S1690" s="190"/>
      <c r="T1690" s="190"/>
      <c r="U1690" s="190"/>
      <c r="V1690" s="190"/>
      <c r="W1690" s="190"/>
      <c r="X1690" s="190"/>
      <c r="Y1690" s="190"/>
      <c r="Z1690" s="190"/>
      <c r="AA1690" s="190"/>
    </row>
    <row r="1691" spans="10:27" x14ac:dyDescent="0.25">
      <c r="J1691" s="190"/>
      <c r="K1691" s="190"/>
      <c r="L1691" s="190"/>
      <c r="M1691" s="190"/>
      <c r="O1691" s="190"/>
      <c r="P1691" s="190"/>
      <c r="Q1691" s="190"/>
      <c r="R1691" s="190"/>
      <c r="S1691" s="190"/>
      <c r="T1691" s="190"/>
      <c r="U1691" s="190"/>
      <c r="V1691" s="190"/>
      <c r="W1691" s="190"/>
      <c r="X1691" s="190"/>
      <c r="Y1691" s="190"/>
      <c r="Z1691" s="190"/>
      <c r="AA1691" s="190"/>
    </row>
    <row r="1692" spans="10:27" x14ac:dyDescent="0.25">
      <c r="J1692" s="190"/>
      <c r="K1692" s="190"/>
      <c r="L1692" s="190"/>
      <c r="M1692" s="190"/>
      <c r="O1692" s="190"/>
      <c r="P1692" s="190"/>
      <c r="Q1692" s="190"/>
      <c r="R1692" s="190"/>
      <c r="S1692" s="190"/>
      <c r="T1692" s="190"/>
      <c r="U1692" s="190"/>
      <c r="V1692" s="190"/>
      <c r="W1692" s="190"/>
      <c r="X1692" s="190"/>
      <c r="Y1692" s="190"/>
      <c r="Z1692" s="190"/>
      <c r="AA1692" s="190"/>
    </row>
    <row r="1693" spans="10:27" x14ac:dyDescent="0.25">
      <c r="J1693" s="190"/>
      <c r="K1693" s="190"/>
      <c r="L1693" s="190"/>
      <c r="M1693" s="190"/>
      <c r="O1693" s="190"/>
      <c r="P1693" s="190"/>
      <c r="Q1693" s="190"/>
      <c r="R1693" s="190"/>
      <c r="S1693" s="190"/>
      <c r="T1693" s="190"/>
      <c r="U1693" s="190"/>
      <c r="V1693" s="190"/>
      <c r="W1693" s="190"/>
      <c r="X1693" s="190"/>
      <c r="Y1693" s="190"/>
      <c r="Z1693" s="190"/>
      <c r="AA1693" s="190"/>
    </row>
    <row r="1694" spans="10:27" x14ac:dyDescent="0.25">
      <c r="J1694" s="190"/>
      <c r="K1694" s="190"/>
      <c r="L1694" s="190"/>
      <c r="M1694" s="190"/>
      <c r="O1694" s="190"/>
      <c r="P1694" s="190"/>
      <c r="Q1694" s="190"/>
      <c r="R1694" s="190"/>
      <c r="S1694" s="190"/>
      <c r="T1694" s="190"/>
      <c r="U1694" s="190"/>
      <c r="V1694" s="190"/>
      <c r="W1694" s="190"/>
      <c r="X1694" s="190"/>
      <c r="Y1694" s="190"/>
      <c r="Z1694" s="190"/>
      <c r="AA1694" s="190"/>
    </row>
    <row r="1695" spans="10:27" x14ac:dyDescent="0.25">
      <c r="J1695" s="190"/>
      <c r="K1695" s="190"/>
      <c r="L1695" s="190"/>
      <c r="M1695" s="190"/>
      <c r="O1695" s="190"/>
      <c r="P1695" s="190"/>
      <c r="Q1695" s="190"/>
      <c r="R1695" s="190"/>
      <c r="S1695" s="190"/>
      <c r="T1695" s="190"/>
      <c r="U1695" s="190"/>
      <c r="V1695" s="190"/>
      <c r="W1695" s="190"/>
      <c r="X1695" s="190"/>
      <c r="Y1695" s="190"/>
      <c r="Z1695" s="190"/>
      <c r="AA1695" s="190"/>
    </row>
    <row r="1696" spans="10:27" x14ac:dyDescent="0.25">
      <c r="J1696" s="190"/>
      <c r="K1696" s="190"/>
      <c r="L1696" s="190"/>
      <c r="M1696" s="190"/>
      <c r="O1696" s="190"/>
      <c r="P1696" s="190"/>
      <c r="Q1696" s="190"/>
      <c r="R1696" s="190"/>
      <c r="S1696" s="190"/>
      <c r="T1696" s="190"/>
      <c r="U1696" s="190"/>
      <c r="V1696" s="190"/>
      <c r="W1696" s="190"/>
      <c r="X1696" s="190"/>
      <c r="Y1696" s="190"/>
      <c r="Z1696" s="190"/>
      <c r="AA1696" s="190"/>
    </row>
    <row r="1697" spans="10:27" x14ac:dyDescent="0.25">
      <c r="J1697" s="190"/>
      <c r="K1697" s="190"/>
      <c r="L1697" s="190"/>
      <c r="M1697" s="190"/>
      <c r="O1697" s="190"/>
      <c r="P1697" s="190"/>
      <c r="Q1697" s="190"/>
      <c r="R1697" s="190"/>
      <c r="S1697" s="190"/>
      <c r="T1697" s="190"/>
      <c r="U1697" s="190"/>
      <c r="V1697" s="190"/>
      <c r="W1697" s="190"/>
      <c r="X1697" s="190"/>
      <c r="Y1697" s="190"/>
      <c r="Z1697" s="190"/>
      <c r="AA1697" s="190"/>
    </row>
    <row r="1698" spans="10:27" x14ac:dyDescent="0.25">
      <c r="J1698" s="190"/>
      <c r="K1698" s="190"/>
      <c r="L1698" s="190"/>
      <c r="M1698" s="190"/>
      <c r="O1698" s="190"/>
      <c r="P1698" s="190"/>
      <c r="Q1698" s="190"/>
      <c r="R1698" s="190"/>
      <c r="S1698" s="190"/>
      <c r="T1698" s="190"/>
      <c r="U1698" s="190"/>
      <c r="V1698" s="190"/>
      <c r="W1698" s="190"/>
      <c r="X1698" s="190"/>
      <c r="Y1698" s="190"/>
      <c r="Z1698" s="190"/>
      <c r="AA1698" s="190"/>
    </row>
    <row r="1699" spans="10:27" x14ac:dyDescent="0.25">
      <c r="J1699" s="190"/>
      <c r="K1699" s="190"/>
      <c r="L1699" s="190"/>
      <c r="M1699" s="190"/>
      <c r="O1699" s="190"/>
      <c r="P1699" s="190"/>
      <c r="Q1699" s="190"/>
      <c r="R1699" s="190"/>
      <c r="S1699" s="190"/>
      <c r="T1699" s="190"/>
      <c r="U1699" s="190"/>
      <c r="V1699" s="190"/>
      <c r="W1699" s="190"/>
      <c r="X1699" s="190"/>
      <c r="Y1699" s="190"/>
      <c r="Z1699" s="190"/>
      <c r="AA1699" s="190"/>
    </row>
    <row r="1700" spans="10:27" x14ac:dyDescent="0.25">
      <c r="J1700" s="190"/>
      <c r="K1700" s="190"/>
      <c r="L1700" s="190"/>
      <c r="M1700" s="190"/>
      <c r="O1700" s="190"/>
      <c r="P1700" s="190"/>
      <c r="Q1700" s="190"/>
      <c r="R1700" s="190"/>
      <c r="S1700" s="190"/>
      <c r="T1700" s="190"/>
      <c r="U1700" s="190"/>
      <c r="V1700" s="190"/>
      <c r="W1700" s="190"/>
      <c r="X1700" s="190"/>
      <c r="Y1700" s="190"/>
      <c r="Z1700" s="190"/>
      <c r="AA1700" s="190"/>
    </row>
    <row r="1701" spans="10:27" x14ac:dyDescent="0.25">
      <c r="J1701" s="190"/>
      <c r="K1701" s="190"/>
      <c r="L1701" s="190"/>
      <c r="M1701" s="190"/>
      <c r="O1701" s="190"/>
      <c r="P1701" s="190"/>
      <c r="Q1701" s="190"/>
      <c r="R1701" s="190"/>
      <c r="S1701" s="190"/>
      <c r="T1701" s="190"/>
      <c r="U1701" s="190"/>
      <c r="V1701" s="190"/>
      <c r="W1701" s="190"/>
      <c r="X1701" s="190"/>
      <c r="Y1701" s="190"/>
      <c r="Z1701" s="190"/>
      <c r="AA1701" s="190"/>
    </row>
    <row r="1702" spans="10:27" x14ac:dyDescent="0.25">
      <c r="J1702" s="190"/>
      <c r="K1702" s="190"/>
      <c r="L1702" s="190"/>
      <c r="M1702" s="190"/>
      <c r="O1702" s="190"/>
      <c r="P1702" s="190"/>
      <c r="Q1702" s="190"/>
      <c r="R1702" s="190"/>
      <c r="S1702" s="190"/>
      <c r="T1702" s="190"/>
      <c r="U1702" s="190"/>
      <c r="V1702" s="190"/>
      <c r="W1702" s="190"/>
      <c r="X1702" s="190"/>
      <c r="Y1702" s="190"/>
      <c r="Z1702" s="190"/>
      <c r="AA1702" s="190"/>
    </row>
    <row r="1703" spans="10:27" x14ac:dyDescent="0.25">
      <c r="J1703" s="190"/>
      <c r="K1703" s="190"/>
      <c r="L1703" s="190"/>
      <c r="M1703" s="190"/>
      <c r="O1703" s="190"/>
      <c r="P1703" s="190"/>
      <c r="Q1703" s="190"/>
      <c r="R1703" s="190"/>
      <c r="S1703" s="190"/>
      <c r="T1703" s="190"/>
      <c r="U1703" s="190"/>
      <c r="V1703" s="190"/>
      <c r="W1703" s="190"/>
      <c r="X1703" s="190"/>
      <c r="Y1703" s="190"/>
      <c r="Z1703" s="190"/>
      <c r="AA1703" s="190"/>
    </row>
    <row r="1704" spans="10:27" x14ac:dyDescent="0.25">
      <c r="J1704" s="190"/>
      <c r="K1704" s="190"/>
      <c r="L1704" s="190"/>
      <c r="M1704" s="190"/>
      <c r="O1704" s="190"/>
      <c r="P1704" s="190"/>
      <c r="Q1704" s="190"/>
      <c r="R1704" s="190"/>
      <c r="S1704" s="190"/>
      <c r="T1704" s="190"/>
      <c r="U1704" s="190"/>
      <c r="V1704" s="190"/>
      <c r="W1704" s="190"/>
      <c r="X1704" s="190"/>
      <c r="Y1704" s="190"/>
      <c r="Z1704" s="190"/>
      <c r="AA1704" s="190"/>
    </row>
    <row r="1705" spans="10:27" x14ac:dyDescent="0.25">
      <c r="J1705" s="190"/>
      <c r="K1705" s="190"/>
      <c r="L1705" s="190"/>
      <c r="M1705" s="190"/>
      <c r="O1705" s="190"/>
      <c r="P1705" s="190"/>
      <c r="Q1705" s="190"/>
      <c r="R1705" s="190"/>
      <c r="S1705" s="190"/>
      <c r="T1705" s="190"/>
      <c r="U1705" s="190"/>
      <c r="V1705" s="190"/>
      <c r="W1705" s="190"/>
      <c r="X1705" s="190"/>
      <c r="Y1705" s="190"/>
      <c r="Z1705" s="190"/>
      <c r="AA1705" s="190"/>
    </row>
    <row r="1706" spans="10:27" x14ac:dyDescent="0.25">
      <c r="J1706" s="190"/>
      <c r="K1706" s="190"/>
      <c r="L1706" s="190"/>
      <c r="M1706" s="190"/>
      <c r="O1706" s="190"/>
      <c r="P1706" s="190"/>
      <c r="Q1706" s="190"/>
      <c r="R1706" s="190"/>
      <c r="S1706" s="190"/>
      <c r="T1706" s="190"/>
      <c r="U1706" s="190"/>
      <c r="V1706" s="190"/>
      <c r="W1706" s="190"/>
      <c r="X1706" s="190"/>
      <c r="Y1706" s="190"/>
      <c r="Z1706" s="190"/>
      <c r="AA1706" s="190"/>
    </row>
    <row r="1707" spans="10:27" x14ac:dyDescent="0.25">
      <c r="J1707" s="190"/>
      <c r="K1707" s="190"/>
      <c r="L1707" s="190"/>
      <c r="M1707" s="190"/>
      <c r="O1707" s="190"/>
      <c r="P1707" s="190"/>
      <c r="Q1707" s="190"/>
      <c r="R1707" s="190"/>
      <c r="S1707" s="190"/>
      <c r="T1707" s="190"/>
      <c r="U1707" s="190"/>
      <c r="V1707" s="190"/>
      <c r="W1707" s="190"/>
      <c r="X1707" s="190"/>
      <c r="Y1707" s="190"/>
      <c r="Z1707" s="190"/>
      <c r="AA1707" s="190"/>
    </row>
    <row r="1708" spans="10:27" x14ac:dyDescent="0.25">
      <c r="J1708" s="190"/>
      <c r="K1708" s="190"/>
      <c r="L1708" s="190"/>
      <c r="M1708" s="190"/>
      <c r="O1708" s="190"/>
      <c r="P1708" s="190"/>
      <c r="Q1708" s="190"/>
      <c r="R1708" s="190"/>
      <c r="S1708" s="190"/>
      <c r="T1708" s="190"/>
      <c r="U1708" s="190"/>
      <c r="V1708" s="190"/>
      <c r="W1708" s="190"/>
      <c r="X1708" s="190"/>
      <c r="Y1708" s="190"/>
      <c r="Z1708" s="190"/>
      <c r="AA1708" s="190"/>
    </row>
    <row r="1709" spans="10:27" x14ac:dyDescent="0.25">
      <c r="J1709" s="190"/>
      <c r="K1709" s="190"/>
      <c r="L1709" s="190"/>
      <c r="M1709" s="190"/>
      <c r="O1709" s="190"/>
      <c r="P1709" s="190"/>
      <c r="Q1709" s="190"/>
      <c r="R1709" s="190"/>
      <c r="S1709" s="190"/>
      <c r="T1709" s="190"/>
      <c r="U1709" s="190"/>
      <c r="V1709" s="190"/>
      <c r="W1709" s="190"/>
      <c r="X1709" s="190"/>
      <c r="Y1709" s="190"/>
      <c r="Z1709" s="190"/>
      <c r="AA1709" s="190"/>
    </row>
    <row r="1710" spans="10:27" x14ac:dyDescent="0.25">
      <c r="J1710" s="190"/>
      <c r="K1710" s="190"/>
      <c r="L1710" s="190"/>
      <c r="M1710" s="190"/>
      <c r="O1710" s="190"/>
      <c r="P1710" s="190"/>
      <c r="Q1710" s="190"/>
      <c r="R1710" s="190"/>
      <c r="S1710" s="190"/>
      <c r="T1710" s="190"/>
      <c r="U1710" s="190"/>
      <c r="V1710" s="190"/>
      <c r="W1710" s="190"/>
      <c r="X1710" s="190"/>
      <c r="Y1710" s="190"/>
      <c r="Z1710" s="190"/>
      <c r="AA1710" s="190"/>
    </row>
    <row r="1711" spans="10:27" x14ac:dyDescent="0.25">
      <c r="J1711" s="190"/>
      <c r="K1711" s="190"/>
      <c r="L1711" s="190"/>
      <c r="M1711" s="190"/>
      <c r="O1711" s="190"/>
      <c r="P1711" s="190"/>
      <c r="Q1711" s="190"/>
      <c r="R1711" s="190"/>
      <c r="S1711" s="190"/>
      <c r="T1711" s="190"/>
      <c r="U1711" s="190"/>
      <c r="V1711" s="190"/>
      <c r="W1711" s="190"/>
      <c r="X1711" s="190"/>
      <c r="Y1711" s="190"/>
      <c r="Z1711" s="190"/>
      <c r="AA1711" s="190"/>
    </row>
    <row r="1712" spans="10:27" x14ac:dyDescent="0.25">
      <c r="J1712" s="190"/>
      <c r="K1712" s="190"/>
      <c r="L1712" s="190"/>
      <c r="M1712" s="190"/>
      <c r="O1712" s="190"/>
      <c r="P1712" s="190"/>
      <c r="Q1712" s="190"/>
      <c r="R1712" s="190"/>
      <c r="S1712" s="190"/>
      <c r="T1712" s="190"/>
      <c r="U1712" s="190"/>
      <c r="V1712" s="190"/>
      <c r="W1712" s="190"/>
      <c r="X1712" s="190"/>
      <c r="Y1712" s="190"/>
      <c r="Z1712" s="190"/>
      <c r="AA1712" s="190"/>
    </row>
    <row r="1713" spans="10:27" x14ac:dyDescent="0.25">
      <c r="J1713" s="190"/>
      <c r="K1713" s="190"/>
      <c r="L1713" s="190"/>
      <c r="M1713" s="190"/>
      <c r="O1713" s="190"/>
      <c r="P1713" s="190"/>
      <c r="Q1713" s="190"/>
      <c r="R1713" s="190"/>
      <c r="S1713" s="190"/>
      <c r="T1713" s="190"/>
      <c r="U1713" s="190"/>
      <c r="V1713" s="190"/>
      <c r="W1713" s="190"/>
      <c r="X1713" s="190"/>
      <c r="Y1713" s="190"/>
      <c r="Z1713" s="190"/>
      <c r="AA1713" s="190"/>
    </row>
    <row r="1714" spans="10:27" x14ac:dyDescent="0.25">
      <c r="J1714" s="190"/>
      <c r="K1714" s="190"/>
      <c r="L1714" s="190"/>
      <c r="M1714" s="190"/>
      <c r="O1714" s="190"/>
      <c r="P1714" s="190"/>
      <c r="Q1714" s="190"/>
      <c r="R1714" s="190"/>
      <c r="S1714" s="190"/>
      <c r="T1714" s="190"/>
      <c r="U1714" s="190"/>
      <c r="V1714" s="190"/>
      <c r="W1714" s="190"/>
      <c r="X1714" s="190"/>
      <c r="Y1714" s="190"/>
      <c r="Z1714" s="190"/>
      <c r="AA1714" s="190"/>
    </row>
    <row r="1715" spans="10:27" x14ac:dyDescent="0.25">
      <c r="J1715" s="190"/>
      <c r="K1715" s="190"/>
      <c r="L1715" s="190"/>
      <c r="M1715" s="190"/>
      <c r="O1715" s="190"/>
      <c r="P1715" s="190"/>
      <c r="Q1715" s="190"/>
      <c r="R1715" s="190"/>
      <c r="S1715" s="190"/>
      <c r="T1715" s="190"/>
      <c r="U1715" s="190"/>
      <c r="V1715" s="190"/>
      <c r="W1715" s="190"/>
      <c r="X1715" s="190"/>
      <c r="Y1715" s="190"/>
      <c r="Z1715" s="190"/>
      <c r="AA1715" s="190"/>
    </row>
    <row r="1716" spans="10:27" x14ac:dyDescent="0.25">
      <c r="J1716" s="190"/>
      <c r="K1716" s="190"/>
      <c r="L1716" s="190"/>
      <c r="M1716" s="190"/>
      <c r="O1716" s="190"/>
      <c r="P1716" s="190"/>
      <c r="Q1716" s="190"/>
      <c r="R1716" s="190"/>
      <c r="S1716" s="190"/>
      <c r="T1716" s="190"/>
      <c r="U1716" s="190"/>
      <c r="V1716" s="190"/>
      <c r="W1716" s="190"/>
      <c r="X1716" s="190"/>
      <c r="Y1716" s="190"/>
      <c r="Z1716" s="190"/>
      <c r="AA1716" s="190"/>
    </row>
    <row r="1717" spans="10:27" x14ac:dyDescent="0.25">
      <c r="J1717" s="190"/>
      <c r="K1717" s="190"/>
      <c r="L1717" s="190"/>
      <c r="M1717" s="190"/>
      <c r="O1717" s="190"/>
      <c r="P1717" s="190"/>
      <c r="Q1717" s="190"/>
      <c r="R1717" s="190"/>
      <c r="S1717" s="190"/>
      <c r="T1717" s="190"/>
      <c r="U1717" s="190"/>
      <c r="V1717" s="190"/>
      <c r="W1717" s="190"/>
      <c r="X1717" s="190"/>
      <c r="Y1717" s="190"/>
      <c r="Z1717" s="190"/>
      <c r="AA1717" s="190"/>
    </row>
    <row r="1718" spans="10:27" x14ac:dyDescent="0.25">
      <c r="J1718" s="190"/>
      <c r="K1718" s="190"/>
      <c r="L1718" s="190"/>
      <c r="M1718" s="190"/>
      <c r="O1718" s="190"/>
      <c r="P1718" s="190"/>
      <c r="Q1718" s="190"/>
      <c r="R1718" s="190"/>
      <c r="S1718" s="190"/>
      <c r="T1718" s="190"/>
      <c r="U1718" s="190"/>
      <c r="V1718" s="190"/>
      <c r="W1718" s="190"/>
      <c r="X1718" s="190"/>
      <c r="Y1718" s="190"/>
      <c r="Z1718" s="190"/>
      <c r="AA1718" s="190"/>
    </row>
    <row r="1719" spans="10:27" x14ac:dyDescent="0.25">
      <c r="J1719" s="190"/>
      <c r="K1719" s="190"/>
      <c r="L1719" s="190"/>
      <c r="M1719" s="190"/>
      <c r="O1719" s="190"/>
      <c r="P1719" s="190"/>
      <c r="Q1719" s="190"/>
      <c r="R1719" s="190"/>
      <c r="S1719" s="190"/>
      <c r="T1719" s="190"/>
      <c r="U1719" s="190"/>
      <c r="V1719" s="190"/>
      <c r="W1719" s="190"/>
      <c r="X1719" s="190"/>
      <c r="Y1719" s="190"/>
      <c r="Z1719" s="190"/>
      <c r="AA1719" s="190"/>
    </row>
    <row r="1720" spans="10:27" x14ac:dyDescent="0.25">
      <c r="J1720" s="190"/>
      <c r="K1720" s="190"/>
      <c r="L1720" s="190"/>
      <c r="M1720" s="190"/>
      <c r="O1720" s="190"/>
      <c r="P1720" s="190"/>
      <c r="Q1720" s="190"/>
      <c r="R1720" s="190"/>
      <c r="S1720" s="190"/>
      <c r="T1720" s="190"/>
      <c r="U1720" s="190"/>
      <c r="V1720" s="190"/>
      <c r="W1720" s="190"/>
      <c r="X1720" s="190"/>
      <c r="Y1720" s="190"/>
      <c r="Z1720" s="190"/>
      <c r="AA1720" s="190"/>
    </row>
    <row r="1721" spans="10:27" x14ac:dyDescent="0.25">
      <c r="J1721" s="190"/>
      <c r="K1721" s="190"/>
      <c r="L1721" s="190"/>
      <c r="M1721" s="190"/>
      <c r="O1721" s="190"/>
      <c r="P1721" s="190"/>
      <c r="Q1721" s="190"/>
      <c r="R1721" s="190"/>
      <c r="S1721" s="190"/>
      <c r="T1721" s="190"/>
      <c r="U1721" s="190"/>
      <c r="V1721" s="190"/>
      <c r="W1721" s="190"/>
      <c r="X1721" s="190"/>
      <c r="Y1721" s="190"/>
      <c r="Z1721" s="190"/>
      <c r="AA1721" s="190"/>
    </row>
    <row r="1722" spans="10:27" x14ac:dyDescent="0.25">
      <c r="J1722" s="190"/>
      <c r="K1722" s="190"/>
      <c r="L1722" s="190"/>
      <c r="M1722" s="190"/>
      <c r="O1722" s="190"/>
      <c r="P1722" s="190"/>
      <c r="Q1722" s="190"/>
      <c r="R1722" s="190"/>
      <c r="S1722" s="190"/>
      <c r="T1722" s="190"/>
      <c r="U1722" s="190"/>
      <c r="V1722" s="190"/>
      <c r="W1722" s="190"/>
      <c r="X1722" s="190"/>
      <c r="Y1722" s="190"/>
      <c r="Z1722" s="190"/>
      <c r="AA1722" s="190"/>
    </row>
    <row r="1723" spans="10:27" x14ac:dyDescent="0.25">
      <c r="J1723" s="190"/>
      <c r="K1723" s="190"/>
      <c r="L1723" s="190"/>
      <c r="M1723" s="190"/>
      <c r="O1723" s="190"/>
      <c r="P1723" s="190"/>
      <c r="Q1723" s="190"/>
      <c r="R1723" s="190"/>
      <c r="S1723" s="190"/>
      <c r="T1723" s="190"/>
      <c r="U1723" s="190"/>
      <c r="V1723" s="190"/>
      <c r="W1723" s="190"/>
      <c r="X1723" s="190"/>
      <c r="Y1723" s="190"/>
      <c r="Z1723" s="190"/>
      <c r="AA1723" s="190"/>
    </row>
    <row r="1724" spans="10:27" x14ac:dyDescent="0.25">
      <c r="J1724" s="190"/>
      <c r="K1724" s="190"/>
      <c r="L1724" s="190"/>
      <c r="M1724" s="190"/>
      <c r="O1724" s="190"/>
      <c r="P1724" s="190"/>
      <c r="Q1724" s="190"/>
      <c r="R1724" s="190"/>
      <c r="S1724" s="190"/>
      <c r="T1724" s="190"/>
      <c r="U1724" s="190"/>
      <c r="V1724" s="190"/>
      <c r="W1724" s="190"/>
      <c r="X1724" s="190"/>
      <c r="Y1724" s="190"/>
      <c r="Z1724" s="190"/>
      <c r="AA1724" s="190"/>
    </row>
    <row r="1725" spans="10:27" x14ac:dyDescent="0.25">
      <c r="J1725" s="190"/>
      <c r="K1725" s="190"/>
      <c r="L1725" s="190"/>
      <c r="M1725" s="190"/>
      <c r="O1725" s="190"/>
      <c r="P1725" s="190"/>
      <c r="Q1725" s="190"/>
      <c r="R1725" s="190"/>
      <c r="S1725" s="190"/>
      <c r="T1725" s="190"/>
      <c r="U1725" s="190"/>
      <c r="V1725" s="190"/>
      <c r="W1725" s="190"/>
      <c r="X1725" s="190"/>
      <c r="Y1725" s="190"/>
      <c r="Z1725" s="190"/>
      <c r="AA1725" s="190"/>
    </row>
    <row r="1726" spans="10:27" x14ac:dyDescent="0.25">
      <c r="J1726" s="190"/>
      <c r="K1726" s="190"/>
      <c r="L1726" s="190"/>
      <c r="M1726" s="190"/>
      <c r="O1726" s="190"/>
      <c r="P1726" s="190"/>
      <c r="Q1726" s="190"/>
      <c r="R1726" s="190"/>
      <c r="S1726" s="190"/>
      <c r="T1726" s="190"/>
      <c r="U1726" s="190"/>
      <c r="V1726" s="190"/>
      <c r="W1726" s="190"/>
      <c r="X1726" s="190"/>
      <c r="Y1726" s="190"/>
      <c r="Z1726" s="190"/>
      <c r="AA1726" s="190"/>
    </row>
    <row r="1727" spans="10:27" x14ac:dyDescent="0.25">
      <c r="J1727" s="190"/>
      <c r="K1727" s="190"/>
      <c r="L1727" s="190"/>
      <c r="M1727" s="190"/>
      <c r="O1727" s="190"/>
      <c r="P1727" s="190"/>
      <c r="Q1727" s="190"/>
      <c r="R1727" s="190"/>
      <c r="S1727" s="190"/>
      <c r="T1727" s="190"/>
      <c r="U1727" s="190"/>
      <c r="V1727" s="190"/>
      <c r="W1727" s="190"/>
      <c r="X1727" s="190"/>
      <c r="Y1727" s="190"/>
      <c r="Z1727" s="190"/>
      <c r="AA1727" s="190"/>
    </row>
    <row r="1728" spans="10:27" x14ac:dyDescent="0.25">
      <c r="J1728" s="190"/>
      <c r="K1728" s="190"/>
      <c r="L1728" s="190"/>
      <c r="M1728" s="190"/>
      <c r="O1728" s="190"/>
      <c r="P1728" s="190"/>
      <c r="Q1728" s="190"/>
      <c r="R1728" s="190"/>
      <c r="S1728" s="190"/>
      <c r="T1728" s="190"/>
      <c r="U1728" s="190"/>
      <c r="V1728" s="190"/>
      <c r="W1728" s="190"/>
      <c r="X1728" s="190"/>
      <c r="Y1728" s="190"/>
      <c r="Z1728" s="190"/>
      <c r="AA1728" s="190"/>
    </row>
    <row r="1729" spans="10:27" x14ac:dyDescent="0.25">
      <c r="J1729" s="190"/>
      <c r="K1729" s="190"/>
      <c r="L1729" s="190"/>
      <c r="M1729" s="190"/>
      <c r="O1729" s="190"/>
      <c r="P1729" s="190"/>
      <c r="Q1729" s="190"/>
      <c r="R1729" s="190"/>
      <c r="S1729" s="190"/>
      <c r="T1729" s="190"/>
      <c r="U1729" s="190"/>
      <c r="V1729" s="190"/>
      <c r="W1729" s="190"/>
      <c r="X1729" s="190"/>
      <c r="Y1729" s="190"/>
      <c r="Z1729" s="190"/>
      <c r="AA1729" s="190"/>
    </row>
    <row r="1730" spans="10:27" x14ac:dyDescent="0.25">
      <c r="J1730" s="190"/>
      <c r="K1730" s="190"/>
      <c r="L1730" s="190"/>
      <c r="M1730" s="190"/>
      <c r="O1730" s="190"/>
      <c r="P1730" s="190"/>
      <c r="Q1730" s="190"/>
      <c r="R1730" s="190"/>
      <c r="S1730" s="190"/>
      <c r="T1730" s="190"/>
      <c r="U1730" s="190"/>
      <c r="V1730" s="190"/>
      <c r="W1730" s="190"/>
      <c r="X1730" s="190"/>
      <c r="Y1730" s="190"/>
      <c r="Z1730" s="190"/>
      <c r="AA1730" s="190"/>
    </row>
    <row r="1731" spans="10:27" x14ac:dyDescent="0.25">
      <c r="J1731" s="190"/>
      <c r="K1731" s="190"/>
      <c r="L1731" s="190"/>
      <c r="M1731" s="190"/>
      <c r="O1731" s="190"/>
      <c r="P1731" s="190"/>
      <c r="Q1731" s="190"/>
      <c r="R1731" s="190"/>
      <c r="S1731" s="190"/>
      <c r="T1731" s="190"/>
      <c r="U1731" s="190"/>
      <c r="V1731" s="190"/>
      <c r="W1731" s="190"/>
      <c r="X1731" s="190"/>
      <c r="Y1731" s="190"/>
      <c r="Z1731" s="190"/>
      <c r="AA1731" s="190"/>
    </row>
    <row r="1732" spans="10:27" x14ac:dyDescent="0.25">
      <c r="J1732" s="190"/>
      <c r="K1732" s="190"/>
      <c r="L1732" s="190"/>
      <c r="M1732" s="190"/>
      <c r="O1732" s="190"/>
      <c r="P1732" s="190"/>
      <c r="Q1732" s="190"/>
      <c r="R1732" s="190"/>
      <c r="S1732" s="190"/>
      <c r="T1732" s="190"/>
      <c r="U1732" s="190"/>
      <c r="V1732" s="190"/>
      <c r="W1732" s="190"/>
      <c r="X1732" s="190"/>
      <c r="Y1732" s="190"/>
      <c r="Z1732" s="190"/>
      <c r="AA1732" s="190"/>
    </row>
    <row r="1733" spans="10:27" x14ac:dyDescent="0.25">
      <c r="J1733" s="190"/>
      <c r="K1733" s="190"/>
      <c r="L1733" s="190"/>
      <c r="M1733" s="190"/>
      <c r="O1733" s="190"/>
      <c r="P1733" s="190"/>
      <c r="Q1733" s="190"/>
      <c r="R1733" s="190"/>
      <c r="S1733" s="190"/>
      <c r="T1733" s="190"/>
      <c r="U1733" s="190"/>
      <c r="V1733" s="190"/>
      <c r="W1733" s="190"/>
      <c r="X1733" s="190"/>
      <c r="Y1733" s="190"/>
      <c r="Z1733" s="190"/>
      <c r="AA1733" s="190"/>
    </row>
    <row r="1734" spans="10:27" x14ac:dyDescent="0.25">
      <c r="J1734" s="190"/>
      <c r="K1734" s="190"/>
      <c r="L1734" s="190"/>
      <c r="M1734" s="190"/>
      <c r="O1734" s="190"/>
      <c r="P1734" s="190"/>
      <c r="Q1734" s="190"/>
      <c r="R1734" s="190"/>
      <c r="S1734" s="190"/>
      <c r="T1734" s="190"/>
      <c r="U1734" s="190"/>
      <c r="V1734" s="190"/>
      <c r="W1734" s="190"/>
      <c r="X1734" s="190"/>
      <c r="Y1734" s="190"/>
      <c r="Z1734" s="190"/>
      <c r="AA1734" s="190"/>
    </row>
    <row r="1735" spans="10:27" x14ac:dyDescent="0.25">
      <c r="J1735" s="190"/>
      <c r="K1735" s="190"/>
      <c r="L1735" s="190"/>
      <c r="M1735" s="190"/>
      <c r="O1735" s="190"/>
      <c r="P1735" s="190"/>
      <c r="Q1735" s="190"/>
      <c r="R1735" s="190"/>
      <c r="S1735" s="190"/>
      <c r="T1735" s="190"/>
      <c r="U1735" s="190"/>
      <c r="V1735" s="190"/>
      <c r="W1735" s="190"/>
      <c r="X1735" s="190"/>
      <c r="Y1735" s="190"/>
      <c r="Z1735" s="190"/>
      <c r="AA1735" s="190"/>
    </row>
    <row r="1736" spans="10:27" x14ac:dyDescent="0.25">
      <c r="J1736" s="190"/>
      <c r="K1736" s="190"/>
      <c r="L1736" s="190"/>
      <c r="M1736" s="190"/>
      <c r="O1736" s="190"/>
      <c r="P1736" s="190"/>
      <c r="Q1736" s="190"/>
      <c r="R1736" s="190"/>
      <c r="S1736" s="190"/>
      <c r="T1736" s="190"/>
      <c r="U1736" s="190"/>
      <c r="V1736" s="190"/>
      <c r="W1736" s="190"/>
      <c r="X1736" s="190"/>
      <c r="Y1736" s="190"/>
      <c r="Z1736" s="190"/>
      <c r="AA1736" s="190"/>
    </row>
    <row r="1737" spans="10:27" x14ac:dyDescent="0.25">
      <c r="J1737" s="190"/>
      <c r="K1737" s="190"/>
      <c r="L1737" s="190"/>
      <c r="M1737" s="190"/>
      <c r="O1737" s="190"/>
      <c r="P1737" s="190"/>
      <c r="Q1737" s="190"/>
      <c r="R1737" s="190"/>
      <c r="S1737" s="190"/>
      <c r="T1737" s="190"/>
      <c r="U1737" s="190"/>
      <c r="V1737" s="190"/>
      <c r="W1737" s="190"/>
      <c r="X1737" s="190"/>
      <c r="Y1737" s="190"/>
      <c r="Z1737" s="190"/>
      <c r="AA1737" s="190"/>
    </row>
    <row r="1738" spans="10:27" x14ac:dyDescent="0.25">
      <c r="J1738" s="190"/>
      <c r="K1738" s="190"/>
      <c r="L1738" s="190"/>
      <c r="M1738" s="190"/>
      <c r="O1738" s="190"/>
      <c r="P1738" s="190"/>
      <c r="Q1738" s="190"/>
      <c r="R1738" s="190"/>
      <c r="S1738" s="190"/>
      <c r="T1738" s="190"/>
      <c r="U1738" s="190"/>
      <c r="V1738" s="190"/>
      <c r="W1738" s="190"/>
      <c r="X1738" s="190"/>
      <c r="Y1738" s="190"/>
      <c r="Z1738" s="190"/>
      <c r="AA1738" s="190"/>
    </row>
    <row r="1739" spans="10:27" x14ac:dyDescent="0.25">
      <c r="J1739" s="190"/>
      <c r="K1739" s="190"/>
      <c r="L1739" s="190"/>
      <c r="M1739" s="190"/>
      <c r="O1739" s="190"/>
      <c r="P1739" s="190"/>
      <c r="Q1739" s="190"/>
      <c r="R1739" s="190"/>
      <c r="S1739" s="190"/>
      <c r="T1739" s="190"/>
      <c r="U1739" s="190"/>
      <c r="V1739" s="190"/>
      <c r="W1739" s="190"/>
      <c r="X1739" s="190"/>
      <c r="Y1739" s="190"/>
      <c r="Z1739" s="190"/>
      <c r="AA1739" s="190"/>
    </row>
    <row r="1740" spans="10:27" x14ac:dyDescent="0.25">
      <c r="J1740" s="190"/>
      <c r="K1740" s="190"/>
      <c r="L1740" s="190"/>
      <c r="M1740" s="190"/>
      <c r="O1740" s="190"/>
      <c r="P1740" s="190"/>
      <c r="Q1740" s="190"/>
      <c r="R1740" s="190"/>
      <c r="S1740" s="190"/>
      <c r="T1740" s="190"/>
      <c r="U1740" s="190"/>
      <c r="V1740" s="190"/>
      <c r="W1740" s="190"/>
      <c r="X1740" s="190"/>
      <c r="Y1740" s="190"/>
      <c r="Z1740" s="190"/>
      <c r="AA1740" s="190"/>
    </row>
    <row r="1741" spans="10:27" x14ac:dyDescent="0.25">
      <c r="J1741" s="190"/>
      <c r="K1741" s="190"/>
      <c r="L1741" s="190"/>
      <c r="M1741" s="190"/>
      <c r="O1741" s="190"/>
      <c r="P1741" s="190"/>
      <c r="Q1741" s="190"/>
      <c r="R1741" s="190"/>
      <c r="S1741" s="190"/>
      <c r="T1741" s="190"/>
      <c r="U1741" s="190"/>
      <c r="V1741" s="190"/>
      <c r="W1741" s="190"/>
      <c r="X1741" s="190"/>
      <c r="Y1741" s="190"/>
      <c r="Z1741" s="190"/>
      <c r="AA1741" s="190"/>
    </row>
    <row r="1742" spans="10:27" x14ac:dyDescent="0.25">
      <c r="J1742" s="190"/>
      <c r="K1742" s="190"/>
      <c r="L1742" s="190"/>
      <c r="M1742" s="190"/>
      <c r="O1742" s="190"/>
      <c r="P1742" s="190"/>
      <c r="Q1742" s="190"/>
      <c r="R1742" s="190"/>
      <c r="S1742" s="190"/>
      <c r="T1742" s="190"/>
      <c r="U1742" s="190"/>
      <c r="V1742" s="190"/>
      <c r="W1742" s="190"/>
      <c r="X1742" s="190"/>
      <c r="Y1742" s="190"/>
      <c r="Z1742" s="190"/>
      <c r="AA1742" s="190"/>
    </row>
    <row r="1743" spans="10:27" x14ac:dyDescent="0.25">
      <c r="J1743" s="190"/>
      <c r="K1743" s="190"/>
      <c r="L1743" s="190"/>
      <c r="M1743" s="190"/>
      <c r="O1743" s="190"/>
      <c r="P1743" s="190"/>
      <c r="Q1743" s="190"/>
      <c r="R1743" s="190"/>
      <c r="S1743" s="190"/>
      <c r="T1743" s="190"/>
      <c r="U1743" s="190"/>
      <c r="V1743" s="190"/>
      <c r="W1743" s="190"/>
      <c r="X1743" s="190"/>
      <c r="Y1743" s="190"/>
      <c r="Z1743" s="190"/>
      <c r="AA1743" s="190"/>
    </row>
    <row r="1744" spans="10:27" x14ac:dyDescent="0.25">
      <c r="J1744" s="190"/>
      <c r="K1744" s="190"/>
      <c r="L1744" s="190"/>
      <c r="M1744" s="190"/>
      <c r="O1744" s="190"/>
      <c r="P1744" s="190"/>
      <c r="Q1744" s="190"/>
      <c r="R1744" s="190"/>
      <c r="S1744" s="190"/>
      <c r="T1744" s="190"/>
      <c r="U1744" s="190"/>
      <c r="V1744" s="190"/>
      <c r="W1744" s="190"/>
      <c r="X1744" s="190"/>
      <c r="Y1744" s="190"/>
      <c r="Z1744" s="190"/>
      <c r="AA1744" s="190"/>
    </row>
    <row r="1745" spans="10:27" x14ac:dyDescent="0.25">
      <c r="J1745" s="190"/>
      <c r="K1745" s="190"/>
      <c r="L1745" s="190"/>
      <c r="M1745" s="190"/>
      <c r="O1745" s="190"/>
      <c r="P1745" s="190"/>
      <c r="Q1745" s="190"/>
      <c r="R1745" s="190"/>
      <c r="S1745" s="190"/>
      <c r="T1745" s="190"/>
      <c r="U1745" s="190"/>
      <c r="V1745" s="190"/>
      <c r="W1745" s="190"/>
      <c r="X1745" s="190"/>
      <c r="Y1745" s="190"/>
      <c r="Z1745" s="190"/>
      <c r="AA1745" s="190"/>
    </row>
    <row r="1746" spans="10:27" x14ac:dyDescent="0.25">
      <c r="J1746" s="190"/>
      <c r="K1746" s="190"/>
      <c r="L1746" s="190"/>
      <c r="M1746" s="190"/>
      <c r="O1746" s="190"/>
      <c r="P1746" s="190"/>
      <c r="Q1746" s="190"/>
      <c r="R1746" s="190"/>
      <c r="S1746" s="190"/>
      <c r="T1746" s="190"/>
      <c r="U1746" s="190"/>
      <c r="V1746" s="190"/>
      <c r="W1746" s="190"/>
      <c r="X1746" s="190"/>
      <c r="Y1746" s="190"/>
      <c r="Z1746" s="190"/>
      <c r="AA1746" s="190"/>
    </row>
    <row r="1747" spans="10:27" x14ac:dyDescent="0.25">
      <c r="J1747" s="190"/>
      <c r="K1747" s="190"/>
      <c r="L1747" s="190"/>
      <c r="M1747" s="190"/>
      <c r="O1747" s="190"/>
      <c r="P1747" s="190"/>
      <c r="Q1747" s="190"/>
      <c r="R1747" s="190"/>
      <c r="S1747" s="190"/>
      <c r="T1747" s="190"/>
      <c r="U1747" s="190"/>
      <c r="V1747" s="190"/>
      <c r="W1747" s="190"/>
      <c r="X1747" s="190"/>
      <c r="Y1747" s="190"/>
      <c r="Z1747" s="190"/>
      <c r="AA1747" s="190"/>
    </row>
    <row r="1748" spans="10:27" x14ac:dyDescent="0.25">
      <c r="J1748" s="190"/>
      <c r="K1748" s="190"/>
      <c r="L1748" s="190"/>
      <c r="M1748" s="190"/>
      <c r="O1748" s="190"/>
      <c r="P1748" s="190"/>
      <c r="Q1748" s="190"/>
      <c r="R1748" s="190"/>
      <c r="S1748" s="190"/>
      <c r="T1748" s="190"/>
      <c r="U1748" s="190"/>
      <c r="V1748" s="190"/>
      <c r="W1748" s="190"/>
      <c r="X1748" s="190"/>
      <c r="Y1748" s="190"/>
      <c r="Z1748" s="190"/>
      <c r="AA1748" s="190"/>
    </row>
    <row r="1749" spans="10:27" x14ac:dyDescent="0.25">
      <c r="J1749" s="190"/>
      <c r="K1749" s="190"/>
      <c r="L1749" s="190"/>
      <c r="M1749" s="190"/>
      <c r="O1749" s="190"/>
      <c r="P1749" s="190"/>
      <c r="Q1749" s="190"/>
      <c r="R1749" s="190"/>
      <c r="S1749" s="190"/>
      <c r="T1749" s="190"/>
      <c r="U1749" s="190"/>
      <c r="V1749" s="190"/>
      <c r="W1749" s="190"/>
      <c r="X1749" s="190"/>
      <c r="Y1749" s="190"/>
      <c r="Z1749" s="190"/>
      <c r="AA1749" s="190"/>
    </row>
    <row r="1750" spans="10:27" x14ac:dyDescent="0.25">
      <c r="J1750" s="190"/>
      <c r="K1750" s="190"/>
      <c r="L1750" s="190"/>
      <c r="M1750" s="190"/>
      <c r="O1750" s="190"/>
      <c r="P1750" s="190"/>
      <c r="Q1750" s="190"/>
      <c r="R1750" s="190"/>
      <c r="S1750" s="190"/>
      <c r="T1750" s="190"/>
      <c r="U1750" s="190"/>
      <c r="V1750" s="190"/>
      <c r="W1750" s="190"/>
      <c r="X1750" s="190"/>
      <c r="Y1750" s="190"/>
      <c r="Z1750" s="190"/>
      <c r="AA1750" s="190"/>
    </row>
    <row r="1751" spans="10:27" x14ac:dyDescent="0.25">
      <c r="J1751" s="190"/>
      <c r="K1751" s="190"/>
      <c r="L1751" s="190"/>
      <c r="M1751" s="190"/>
      <c r="O1751" s="190"/>
      <c r="P1751" s="190"/>
      <c r="Q1751" s="190"/>
      <c r="R1751" s="190"/>
      <c r="S1751" s="190"/>
      <c r="T1751" s="190"/>
      <c r="U1751" s="190"/>
      <c r="V1751" s="190"/>
      <c r="W1751" s="190"/>
      <c r="X1751" s="190"/>
      <c r="Y1751" s="190"/>
      <c r="Z1751" s="190"/>
      <c r="AA1751" s="190"/>
    </row>
    <row r="1752" spans="10:27" x14ac:dyDescent="0.25">
      <c r="J1752" s="190"/>
      <c r="K1752" s="190"/>
      <c r="L1752" s="190"/>
      <c r="M1752" s="190"/>
      <c r="O1752" s="190"/>
      <c r="P1752" s="190"/>
      <c r="Q1752" s="190"/>
      <c r="R1752" s="190"/>
      <c r="S1752" s="190"/>
      <c r="T1752" s="190"/>
      <c r="U1752" s="190"/>
      <c r="V1752" s="190"/>
      <c r="W1752" s="190"/>
      <c r="X1752" s="190"/>
      <c r="Y1752" s="190"/>
      <c r="Z1752" s="190"/>
      <c r="AA1752" s="190"/>
    </row>
    <row r="1753" spans="10:27" x14ac:dyDescent="0.25">
      <c r="J1753" s="190"/>
      <c r="K1753" s="190"/>
      <c r="L1753" s="190"/>
      <c r="M1753" s="190"/>
      <c r="O1753" s="190"/>
      <c r="P1753" s="190"/>
      <c r="Q1753" s="190"/>
      <c r="R1753" s="190"/>
      <c r="S1753" s="190"/>
      <c r="T1753" s="190"/>
      <c r="U1753" s="190"/>
      <c r="V1753" s="190"/>
      <c r="W1753" s="190"/>
      <c r="X1753" s="190"/>
      <c r="Y1753" s="190"/>
      <c r="Z1753" s="190"/>
      <c r="AA1753" s="190"/>
    </row>
    <row r="1754" spans="10:27" x14ac:dyDescent="0.25">
      <c r="J1754" s="190"/>
      <c r="K1754" s="190"/>
      <c r="L1754" s="190"/>
      <c r="M1754" s="190"/>
      <c r="O1754" s="190"/>
      <c r="P1754" s="190"/>
      <c r="Q1754" s="190"/>
      <c r="R1754" s="190"/>
      <c r="S1754" s="190"/>
      <c r="T1754" s="190"/>
      <c r="U1754" s="190"/>
      <c r="V1754" s="190"/>
      <c r="W1754" s="190"/>
      <c r="X1754" s="190"/>
      <c r="Y1754" s="190"/>
      <c r="Z1754" s="190"/>
      <c r="AA1754" s="190"/>
    </row>
    <row r="1755" spans="10:27" x14ac:dyDescent="0.25">
      <c r="J1755" s="190"/>
      <c r="K1755" s="190"/>
      <c r="L1755" s="190"/>
      <c r="M1755" s="190"/>
      <c r="O1755" s="190"/>
      <c r="P1755" s="190"/>
      <c r="Q1755" s="190"/>
      <c r="R1755" s="190"/>
      <c r="S1755" s="190"/>
      <c r="T1755" s="190"/>
      <c r="U1755" s="190"/>
      <c r="V1755" s="190"/>
      <c r="W1755" s="190"/>
      <c r="X1755" s="190"/>
      <c r="Y1755" s="190"/>
      <c r="Z1755" s="190"/>
      <c r="AA1755" s="190"/>
    </row>
    <row r="1756" spans="10:27" x14ac:dyDescent="0.25">
      <c r="J1756" s="190"/>
      <c r="K1756" s="190"/>
      <c r="L1756" s="190"/>
      <c r="M1756" s="190"/>
      <c r="O1756" s="190"/>
      <c r="P1756" s="190"/>
      <c r="Q1756" s="190"/>
      <c r="R1756" s="190"/>
      <c r="S1756" s="190"/>
      <c r="T1756" s="190"/>
      <c r="U1756" s="190"/>
      <c r="V1756" s="190"/>
      <c r="W1756" s="190"/>
      <c r="X1756" s="190"/>
      <c r="Y1756" s="190"/>
      <c r="Z1756" s="190"/>
      <c r="AA1756" s="190"/>
    </row>
    <row r="1757" spans="10:27" x14ac:dyDescent="0.25">
      <c r="J1757" s="190"/>
      <c r="K1757" s="190"/>
      <c r="L1757" s="190"/>
      <c r="M1757" s="190"/>
      <c r="O1757" s="190"/>
      <c r="P1757" s="190"/>
      <c r="Q1757" s="190"/>
      <c r="R1757" s="190"/>
      <c r="S1757" s="190"/>
      <c r="T1757" s="190"/>
      <c r="U1757" s="190"/>
      <c r="V1757" s="190"/>
      <c r="W1757" s="190"/>
      <c r="X1757" s="190"/>
      <c r="Y1757" s="190"/>
      <c r="Z1757" s="190"/>
      <c r="AA1757" s="190"/>
    </row>
    <row r="1758" spans="10:27" x14ac:dyDescent="0.25">
      <c r="J1758" s="190"/>
      <c r="K1758" s="190"/>
      <c r="L1758" s="190"/>
      <c r="M1758" s="190"/>
      <c r="O1758" s="190"/>
      <c r="P1758" s="190"/>
      <c r="Q1758" s="190"/>
      <c r="R1758" s="190"/>
      <c r="S1758" s="190"/>
      <c r="T1758" s="190"/>
      <c r="U1758" s="190"/>
      <c r="V1758" s="190"/>
      <c r="W1758" s="190"/>
      <c r="X1758" s="190"/>
      <c r="Y1758" s="190"/>
      <c r="Z1758" s="190"/>
      <c r="AA1758" s="190"/>
    </row>
    <row r="1759" spans="10:27" x14ac:dyDescent="0.25">
      <c r="J1759" s="190"/>
      <c r="K1759" s="190"/>
      <c r="L1759" s="190"/>
      <c r="M1759" s="190"/>
      <c r="O1759" s="190"/>
      <c r="P1759" s="190"/>
      <c r="Q1759" s="190"/>
      <c r="R1759" s="190"/>
      <c r="S1759" s="190"/>
      <c r="T1759" s="190"/>
      <c r="U1759" s="190"/>
      <c r="V1759" s="190"/>
      <c r="W1759" s="190"/>
      <c r="X1759" s="190"/>
      <c r="Y1759" s="190"/>
      <c r="Z1759" s="190"/>
      <c r="AA1759" s="190"/>
    </row>
    <row r="1760" spans="10:27" x14ac:dyDescent="0.25">
      <c r="J1760" s="190"/>
      <c r="K1760" s="190"/>
      <c r="L1760" s="190"/>
      <c r="M1760" s="190"/>
      <c r="O1760" s="190"/>
      <c r="P1760" s="190"/>
      <c r="Q1760" s="190"/>
      <c r="R1760" s="190"/>
      <c r="S1760" s="190"/>
      <c r="T1760" s="190"/>
      <c r="U1760" s="190"/>
      <c r="V1760" s="190"/>
      <c r="W1760" s="190"/>
      <c r="X1760" s="190"/>
      <c r="Y1760" s="190"/>
      <c r="Z1760" s="190"/>
      <c r="AA1760" s="190"/>
    </row>
    <row r="1761" spans="10:27" x14ac:dyDescent="0.25">
      <c r="J1761" s="190"/>
      <c r="K1761" s="190"/>
      <c r="L1761" s="190"/>
      <c r="M1761" s="190"/>
      <c r="O1761" s="190"/>
      <c r="P1761" s="190"/>
      <c r="Q1761" s="190"/>
      <c r="R1761" s="190"/>
      <c r="S1761" s="190"/>
      <c r="T1761" s="190"/>
      <c r="U1761" s="190"/>
      <c r="V1761" s="190"/>
      <c r="W1761" s="190"/>
      <c r="X1761" s="190"/>
      <c r="Y1761" s="190"/>
      <c r="Z1761" s="190"/>
      <c r="AA1761" s="190"/>
    </row>
    <row r="1762" spans="10:27" x14ac:dyDescent="0.25">
      <c r="J1762" s="190"/>
      <c r="K1762" s="190"/>
      <c r="L1762" s="190"/>
      <c r="M1762" s="190"/>
      <c r="O1762" s="190"/>
      <c r="P1762" s="190"/>
      <c r="Q1762" s="190"/>
      <c r="R1762" s="190"/>
      <c r="S1762" s="190"/>
      <c r="T1762" s="190"/>
      <c r="U1762" s="190"/>
      <c r="V1762" s="190"/>
      <c r="W1762" s="190"/>
      <c r="X1762" s="190"/>
      <c r="Y1762" s="190"/>
      <c r="Z1762" s="190"/>
      <c r="AA1762" s="190"/>
    </row>
    <row r="1763" spans="10:27" x14ac:dyDescent="0.25">
      <c r="J1763" s="190"/>
      <c r="K1763" s="190"/>
      <c r="L1763" s="190"/>
      <c r="M1763" s="190"/>
      <c r="O1763" s="190"/>
      <c r="P1763" s="190"/>
      <c r="Q1763" s="190"/>
      <c r="R1763" s="190"/>
      <c r="S1763" s="190"/>
      <c r="T1763" s="190"/>
      <c r="U1763" s="190"/>
      <c r="V1763" s="190"/>
      <c r="W1763" s="190"/>
      <c r="X1763" s="190"/>
      <c r="Y1763" s="190"/>
      <c r="Z1763" s="190"/>
      <c r="AA1763" s="190"/>
    </row>
    <row r="1764" spans="10:27" x14ac:dyDescent="0.25">
      <c r="J1764" s="190"/>
      <c r="K1764" s="190"/>
      <c r="L1764" s="190"/>
      <c r="M1764" s="190"/>
      <c r="O1764" s="190"/>
      <c r="P1764" s="190"/>
      <c r="Q1764" s="190"/>
      <c r="R1764" s="190"/>
      <c r="S1764" s="190"/>
      <c r="T1764" s="190"/>
      <c r="U1764" s="190"/>
      <c r="V1764" s="190"/>
      <c r="W1764" s="190"/>
      <c r="X1764" s="190"/>
      <c r="Y1764" s="190"/>
      <c r="Z1764" s="190"/>
      <c r="AA1764" s="190"/>
    </row>
    <row r="1765" spans="10:27" x14ac:dyDescent="0.25">
      <c r="J1765" s="190"/>
      <c r="K1765" s="190"/>
      <c r="L1765" s="190"/>
      <c r="M1765" s="190"/>
      <c r="O1765" s="190"/>
      <c r="P1765" s="190"/>
      <c r="Q1765" s="190"/>
      <c r="R1765" s="190"/>
      <c r="S1765" s="190"/>
      <c r="T1765" s="190"/>
      <c r="U1765" s="190"/>
      <c r="V1765" s="190"/>
      <c r="W1765" s="190"/>
      <c r="X1765" s="190"/>
      <c r="Y1765" s="190"/>
      <c r="Z1765" s="190"/>
      <c r="AA1765" s="190"/>
    </row>
    <row r="1766" spans="10:27" x14ac:dyDescent="0.25">
      <c r="J1766" s="190"/>
      <c r="K1766" s="190"/>
      <c r="L1766" s="190"/>
      <c r="M1766" s="190"/>
      <c r="O1766" s="190"/>
      <c r="P1766" s="190"/>
      <c r="Q1766" s="190"/>
      <c r="R1766" s="190"/>
      <c r="S1766" s="190"/>
      <c r="T1766" s="190"/>
      <c r="U1766" s="190"/>
      <c r="V1766" s="190"/>
      <c r="W1766" s="190"/>
      <c r="X1766" s="190"/>
      <c r="Y1766" s="190"/>
      <c r="Z1766" s="190"/>
      <c r="AA1766" s="190"/>
    </row>
    <row r="1767" spans="10:27" x14ac:dyDescent="0.25">
      <c r="J1767" s="190"/>
      <c r="K1767" s="190"/>
      <c r="L1767" s="190"/>
      <c r="M1767" s="190"/>
      <c r="O1767" s="190"/>
      <c r="P1767" s="190"/>
      <c r="Q1767" s="190"/>
      <c r="R1767" s="190"/>
      <c r="S1767" s="190"/>
      <c r="T1767" s="190"/>
      <c r="U1767" s="190"/>
      <c r="V1767" s="190"/>
      <c r="W1767" s="190"/>
      <c r="X1767" s="190"/>
      <c r="Y1767" s="190"/>
      <c r="Z1767" s="190"/>
      <c r="AA1767" s="190"/>
    </row>
    <row r="1768" spans="10:27" x14ac:dyDescent="0.25">
      <c r="J1768" s="190"/>
      <c r="K1768" s="190"/>
      <c r="L1768" s="190"/>
      <c r="M1768" s="190"/>
      <c r="O1768" s="190"/>
      <c r="P1768" s="190"/>
      <c r="Q1768" s="190"/>
      <c r="R1768" s="190"/>
      <c r="S1768" s="190"/>
      <c r="T1768" s="190"/>
      <c r="U1768" s="190"/>
      <c r="V1768" s="190"/>
      <c r="W1768" s="190"/>
      <c r="X1768" s="190"/>
      <c r="Y1768" s="190"/>
      <c r="Z1768" s="190"/>
      <c r="AA1768" s="190"/>
    </row>
    <row r="1769" spans="10:27" x14ac:dyDescent="0.25">
      <c r="J1769" s="190"/>
      <c r="K1769" s="190"/>
      <c r="L1769" s="190"/>
      <c r="M1769" s="190"/>
      <c r="O1769" s="190"/>
      <c r="P1769" s="190"/>
      <c r="Q1769" s="190"/>
      <c r="R1769" s="190"/>
      <c r="S1769" s="190"/>
      <c r="T1769" s="190"/>
      <c r="U1769" s="190"/>
      <c r="V1769" s="190"/>
      <c r="W1769" s="190"/>
      <c r="X1769" s="190"/>
      <c r="Y1769" s="190"/>
      <c r="Z1769" s="190"/>
      <c r="AA1769" s="190"/>
    </row>
    <row r="1770" spans="10:27" x14ac:dyDescent="0.25">
      <c r="J1770" s="190"/>
      <c r="K1770" s="190"/>
      <c r="L1770" s="190"/>
      <c r="M1770" s="190"/>
      <c r="O1770" s="190"/>
      <c r="P1770" s="190"/>
      <c r="Q1770" s="190"/>
      <c r="R1770" s="190"/>
      <c r="S1770" s="190"/>
      <c r="T1770" s="190"/>
      <c r="U1770" s="190"/>
      <c r="V1770" s="190"/>
      <c r="W1770" s="190"/>
      <c r="X1770" s="190"/>
      <c r="Y1770" s="190"/>
      <c r="Z1770" s="190"/>
      <c r="AA1770" s="190"/>
    </row>
    <row r="1771" spans="10:27" x14ac:dyDescent="0.25">
      <c r="J1771" s="190"/>
      <c r="K1771" s="190"/>
      <c r="L1771" s="190"/>
      <c r="M1771" s="190"/>
      <c r="O1771" s="190"/>
      <c r="P1771" s="190"/>
      <c r="Q1771" s="190"/>
      <c r="R1771" s="190"/>
      <c r="S1771" s="190"/>
      <c r="T1771" s="190"/>
      <c r="U1771" s="190"/>
      <c r="V1771" s="190"/>
      <c r="W1771" s="190"/>
      <c r="X1771" s="190"/>
      <c r="Y1771" s="190"/>
      <c r="Z1771" s="190"/>
      <c r="AA1771" s="190"/>
    </row>
    <row r="1772" spans="10:27" x14ac:dyDescent="0.25">
      <c r="J1772" s="190"/>
      <c r="K1772" s="190"/>
      <c r="L1772" s="190"/>
      <c r="M1772" s="190"/>
      <c r="O1772" s="190"/>
      <c r="P1772" s="190"/>
      <c r="Q1772" s="190"/>
      <c r="R1772" s="190"/>
      <c r="S1772" s="190"/>
      <c r="T1772" s="190"/>
      <c r="U1772" s="190"/>
      <c r="V1772" s="190"/>
      <c r="W1772" s="190"/>
      <c r="X1772" s="190"/>
      <c r="Y1772" s="190"/>
      <c r="Z1772" s="190"/>
      <c r="AA1772" s="190"/>
    </row>
    <row r="1773" spans="10:27" x14ac:dyDescent="0.25">
      <c r="J1773" s="190"/>
      <c r="K1773" s="190"/>
      <c r="L1773" s="190"/>
      <c r="M1773" s="190"/>
      <c r="O1773" s="190"/>
      <c r="P1773" s="190"/>
      <c r="Q1773" s="190"/>
      <c r="R1773" s="190"/>
      <c r="S1773" s="190"/>
      <c r="T1773" s="190"/>
      <c r="U1773" s="190"/>
      <c r="V1773" s="190"/>
      <c r="W1773" s="190"/>
      <c r="X1773" s="190"/>
      <c r="Y1773" s="190"/>
      <c r="Z1773" s="190"/>
      <c r="AA1773" s="190"/>
    </row>
    <row r="1774" spans="10:27" x14ac:dyDescent="0.25">
      <c r="J1774" s="190"/>
      <c r="K1774" s="190"/>
      <c r="L1774" s="190"/>
      <c r="M1774" s="190"/>
      <c r="O1774" s="190"/>
      <c r="P1774" s="190"/>
      <c r="Q1774" s="190"/>
      <c r="R1774" s="190"/>
      <c r="S1774" s="190"/>
      <c r="T1774" s="190"/>
      <c r="U1774" s="190"/>
      <c r="V1774" s="190"/>
      <c r="W1774" s="190"/>
      <c r="X1774" s="190"/>
      <c r="Y1774" s="190"/>
      <c r="Z1774" s="190"/>
      <c r="AA1774" s="190"/>
    </row>
    <row r="1775" spans="10:27" x14ac:dyDescent="0.25">
      <c r="J1775" s="190"/>
      <c r="K1775" s="190"/>
      <c r="L1775" s="190"/>
      <c r="M1775" s="190"/>
      <c r="O1775" s="190"/>
      <c r="P1775" s="190"/>
      <c r="Q1775" s="190"/>
      <c r="R1775" s="190"/>
      <c r="S1775" s="190"/>
      <c r="T1775" s="190"/>
      <c r="U1775" s="190"/>
      <c r="V1775" s="190"/>
      <c r="W1775" s="190"/>
      <c r="X1775" s="190"/>
      <c r="Y1775" s="190"/>
      <c r="Z1775" s="190"/>
      <c r="AA1775" s="190"/>
    </row>
    <row r="1776" spans="10:27" x14ac:dyDescent="0.25">
      <c r="J1776" s="190"/>
      <c r="K1776" s="190"/>
      <c r="L1776" s="190"/>
      <c r="M1776" s="190"/>
      <c r="O1776" s="190"/>
      <c r="P1776" s="190"/>
      <c r="Q1776" s="190"/>
      <c r="R1776" s="190"/>
      <c r="S1776" s="190"/>
      <c r="T1776" s="190"/>
      <c r="U1776" s="190"/>
      <c r="V1776" s="190"/>
      <c r="W1776" s="190"/>
      <c r="X1776" s="190"/>
      <c r="Y1776" s="190"/>
      <c r="Z1776" s="190"/>
      <c r="AA1776" s="190"/>
    </row>
    <row r="1777" spans="10:27" x14ac:dyDescent="0.25">
      <c r="J1777" s="190"/>
      <c r="K1777" s="190"/>
      <c r="L1777" s="190"/>
      <c r="M1777" s="190"/>
      <c r="O1777" s="190"/>
      <c r="P1777" s="190"/>
      <c r="Q1777" s="190"/>
      <c r="R1777" s="190"/>
      <c r="S1777" s="190"/>
      <c r="T1777" s="190"/>
      <c r="U1777" s="190"/>
      <c r="V1777" s="190"/>
      <c r="W1777" s="190"/>
      <c r="X1777" s="190"/>
      <c r="Y1777" s="190"/>
      <c r="Z1777" s="190"/>
      <c r="AA1777" s="190"/>
    </row>
    <row r="1778" spans="10:27" x14ac:dyDescent="0.25">
      <c r="J1778" s="190"/>
      <c r="K1778" s="190"/>
      <c r="L1778" s="190"/>
      <c r="M1778" s="190"/>
      <c r="O1778" s="190"/>
      <c r="P1778" s="190"/>
      <c r="Q1778" s="190"/>
      <c r="R1778" s="190"/>
      <c r="S1778" s="190"/>
      <c r="T1778" s="190"/>
      <c r="U1778" s="190"/>
      <c r="V1778" s="190"/>
      <c r="W1778" s="190"/>
      <c r="X1778" s="190"/>
      <c r="Y1778" s="190"/>
      <c r="Z1778" s="190"/>
      <c r="AA1778" s="190"/>
    </row>
    <row r="1779" spans="10:27" x14ac:dyDescent="0.25">
      <c r="J1779" s="190"/>
      <c r="K1779" s="190"/>
      <c r="L1779" s="190"/>
      <c r="M1779" s="190"/>
      <c r="O1779" s="190"/>
      <c r="P1779" s="190"/>
      <c r="Q1779" s="190"/>
      <c r="R1779" s="190"/>
      <c r="S1779" s="190"/>
      <c r="T1779" s="190"/>
      <c r="U1779" s="190"/>
      <c r="V1779" s="190"/>
      <c r="W1779" s="190"/>
      <c r="X1779" s="190"/>
      <c r="Y1779" s="190"/>
      <c r="Z1779" s="190"/>
      <c r="AA1779" s="190"/>
    </row>
    <row r="1780" spans="10:27" x14ac:dyDescent="0.25">
      <c r="J1780" s="190"/>
      <c r="K1780" s="190"/>
      <c r="L1780" s="190"/>
      <c r="M1780" s="190"/>
      <c r="O1780" s="190"/>
      <c r="P1780" s="190"/>
      <c r="Q1780" s="190"/>
      <c r="R1780" s="190"/>
      <c r="S1780" s="190"/>
      <c r="T1780" s="190"/>
      <c r="U1780" s="190"/>
      <c r="V1780" s="190"/>
      <c r="W1780" s="190"/>
      <c r="X1780" s="190"/>
      <c r="Y1780" s="190"/>
      <c r="Z1780" s="190"/>
      <c r="AA1780" s="190"/>
    </row>
    <row r="1781" spans="10:27" x14ac:dyDescent="0.25">
      <c r="J1781" s="190"/>
      <c r="K1781" s="190"/>
      <c r="L1781" s="190"/>
      <c r="M1781" s="190"/>
      <c r="O1781" s="190"/>
      <c r="P1781" s="190"/>
      <c r="Q1781" s="190"/>
      <c r="R1781" s="190"/>
      <c r="S1781" s="190"/>
      <c r="T1781" s="190"/>
      <c r="U1781" s="190"/>
      <c r="V1781" s="190"/>
      <c r="W1781" s="190"/>
      <c r="X1781" s="190"/>
      <c r="Y1781" s="190"/>
      <c r="Z1781" s="190"/>
      <c r="AA1781" s="190"/>
    </row>
    <row r="1782" spans="10:27" x14ac:dyDescent="0.25">
      <c r="J1782" s="190"/>
      <c r="K1782" s="190"/>
      <c r="L1782" s="190"/>
      <c r="M1782" s="190"/>
      <c r="O1782" s="190"/>
      <c r="P1782" s="190"/>
      <c r="Q1782" s="190"/>
      <c r="R1782" s="190"/>
      <c r="S1782" s="190"/>
      <c r="T1782" s="190"/>
      <c r="U1782" s="190"/>
      <c r="V1782" s="190"/>
      <c r="W1782" s="190"/>
      <c r="X1782" s="190"/>
      <c r="Y1782" s="190"/>
      <c r="Z1782" s="190"/>
      <c r="AA1782" s="190"/>
    </row>
    <row r="1783" spans="10:27" x14ac:dyDescent="0.25">
      <c r="J1783" s="190"/>
      <c r="K1783" s="190"/>
      <c r="L1783" s="190"/>
      <c r="M1783" s="190"/>
      <c r="O1783" s="190"/>
      <c r="P1783" s="190"/>
      <c r="Q1783" s="190"/>
      <c r="R1783" s="190"/>
      <c r="S1783" s="190"/>
      <c r="T1783" s="190"/>
      <c r="U1783" s="190"/>
      <c r="V1783" s="190"/>
      <c r="W1783" s="190"/>
      <c r="X1783" s="190"/>
      <c r="Y1783" s="190"/>
      <c r="Z1783" s="190"/>
      <c r="AA1783" s="190"/>
    </row>
    <row r="1784" spans="10:27" x14ac:dyDescent="0.25">
      <c r="J1784" s="190"/>
      <c r="K1784" s="190"/>
      <c r="L1784" s="190"/>
      <c r="M1784" s="190"/>
      <c r="O1784" s="190"/>
      <c r="P1784" s="190"/>
      <c r="Q1784" s="190"/>
      <c r="R1784" s="190"/>
      <c r="S1784" s="190"/>
      <c r="T1784" s="190"/>
      <c r="U1784" s="190"/>
      <c r="V1784" s="190"/>
      <c r="W1784" s="190"/>
      <c r="X1784" s="190"/>
      <c r="Y1784" s="190"/>
      <c r="Z1784" s="190"/>
      <c r="AA1784" s="190"/>
    </row>
    <row r="1785" spans="10:27" x14ac:dyDescent="0.25">
      <c r="J1785" s="190"/>
      <c r="K1785" s="190"/>
      <c r="L1785" s="190"/>
      <c r="M1785" s="190"/>
      <c r="O1785" s="190"/>
      <c r="P1785" s="190"/>
      <c r="Q1785" s="190"/>
      <c r="R1785" s="190"/>
      <c r="S1785" s="190"/>
      <c r="T1785" s="190"/>
      <c r="U1785" s="190"/>
      <c r="V1785" s="190"/>
      <c r="W1785" s="190"/>
      <c r="X1785" s="190"/>
      <c r="Y1785" s="190"/>
      <c r="Z1785" s="190"/>
      <c r="AA1785" s="190"/>
    </row>
    <row r="1786" spans="10:27" x14ac:dyDescent="0.25">
      <c r="J1786" s="190"/>
      <c r="K1786" s="190"/>
      <c r="L1786" s="190"/>
      <c r="M1786" s="190"/>
      <c r="O1786" s="190"/>
      <c r="P1786" s="190"/>
      <c r="Q1786" s="190"/>
      <c r="R1786" s="190"/>
      <c r="S1786" s="190"/>
      <c r="T1786" s="190"/>
      <c r="U1786" s="190"/>
      <c r="V1786" s="190"/>
      <c r="W1786" s="190"/>
      <c r="X1786" s="190"/>
      <c r="Y1786" s="190"/>
      <c r="Z1786" s="190"/>
      <c r="AA1786" s="190"/>
    </row>
    <row r="1787" spans="10:27" x14ac:dyDescent="0.25">
      <c r="J1787" s="190"/>
      <c r="K1787" s="190"/>
      <c r="L1787" s="190"/>
      <c r="M1787" s="190"/>
      <c r="O1787" s="190"/>
      <c r="P1787" s="190"/>
      <c r="Q1787" s="190"/>
      <c r="R1787" s="190"/>
      <c r="S1787" s="190"/>
      <c r="T1787" s="190"/>
      <c r="U1787" s="190"/>
      <c r="V1787" s="190"/>
      <c r="W1787" s="190"/>
      <c r="X1787" s="190"/>
      <c r="Y1787" s="190"/>
      <c r="Z1787" s="190"/>
      <c r="AA1787" s="190"/>
    </row>
    <row r="1788" spans="10:27" x14ac:dyDescent="0.25">
      <c r="J1788" s="190"/>
      <c r="K1788" s="190"/>
      <c r="L1788" s="190"/>
      <c r="M1788" s="190"/>
      <c r="O1788" s="190"/>
      <c r="P1788" s="190"/>
      <c r="Q1788" s="190"/>
      <c r="R1788" s="190"/>
      <c r="S1788" s="190"/>
      <c r="T1788" s="190"/>
      <c r="U1788" s="190"/>
      <c r="V1788" s="190"/>
      <c r="W1788" s="190"/>
      <c r="X1788" s="190"/>
      <c r="Y1788" s="190"/>
      <c r="Z1788" s="190"/>
      <c r="AA1788" s="190"/>
    </row>
    <row r="1789" spans="10:27" x14ac:dyDescent="0.25">
      <c r="J1789" s="190"/>
      <c r="K1789" s="190"/>
      <c r="L1789" s="190"/>
      <c r="M1789" s="190"/>
      <c r="O1789" s="190"/>
      <c r="P1789" s="190"/>
      <c r="Q1789" s="190"/>
      <c r="R1789" s="190"/>
      <c r="S1789" s="190"/>
      <c r="T1789" s="190"/>
      <c r="U1789" s="190"/>
      <c r="V1789" s="190"/>
      <c r="W1789" s="190"/>
      <c r="X1789" s="190"/>
      <c r="Y1789" s="190"/>
      <c r="Z1789" s="190"/>
      <c r="AA1789" s="190"/>
    </row>
    <row r="1790" spans="10:27" x14ac:dyDescent="0.25">
      <c r="J1790" s="190"/>
      <c r="K1790" s="190"/>
      <c r="L1790" s="190"/>
      <c r="M1790" s="190"/>
      <c r="O1790" s="190"/>
      <c r="P1790" s="190"/>
      <c r="Q1790" s="190"/>
      <c r="R1790" s="190"/>
      <c r="S1790" s="190"/>
      <c r="T1790" s="190"/>
      <c r="U1790" s="190"/>
      <c r="V1790" s="190"/>
      <c r="W1790" s="190"/>
      <c r="X1790" s="190"/>
      <c r="Y1790" s="190"/>
      <c r="Z1790" s="190"/>
      <c r="AA1790" s="190"/>
    </row>
    <row r="1791" spans="10:27" x14ac:dyDescent="0.25">
      <c r="J1791" s="190"/>
      <c r="K1791" s="190"/>
      <c r="L1791" s="190"/>
      <c r="M1791" s="190"/>
      <c r="O1791" s="190"/>
      <c r="P1791" s="190"/>
      <c r="Q1791" s="190"/>
      <c r="R1791" s="190"/>
      <c r="S1791" s="190"/>
      <c r="T1791" s="190"/>
      <c r="U1791" s="190"/>
      <c r="V1791" s="190"/>
      <c r="W1791" s="190"/>
      <c r="X1791" s="190"/>
      <c r="Y1791" s="190"/>
      <c r="Z1791" s="190"/>
      <c r="AA1791" s="190"/>
    </row>
    <row r="1792" spans="10:27" x14ac:dyDescent="0.25">
      <c r="J1792" s="190"/>
      <c r="K1792" s="190"/>
      <c r="L1792" s="190"/>
      <c r="M1792" s="190"/>
      <c r="O1792" s="190"/>
      <c r="P1792" s="190"/>
      <c r="Q1792" s="190"/>
      <c r="R1792" s="190"/>
      <c r="S1792" s="190"/>
      <c r="T1792" s="190"/>
      <c r="U1792" s="190"/>
      <c r="V1792" s="190"/>
      <c r="W1792" s="190"/>
      <c r="X1792" s="190"/>
      <c r="Y1792" s="190"/>
      <c r="Z1792" s="190"/>
      <c r="AA1792" s="190"/>
    </row>
    <row r="1793" spans="10:27" x14ac:dyDescent="0.25">
      <c r="J1793" s="190"/>
      <c r="K1793" s="190"/>
      <c r="L1793" s="190"/>
      <c r="M1793" s="190"/>
      <c r="O1793" s="190"/>
      <c r="P1793" s="190"/>
      <c r="Q1793" s="190"/>
      <c r="R1793" s="190"/>
      <c r="S1793" s="190"/>
      <c r="T1793" s="190"/>
      <c r="U1793" s="190"/>
      <c r="V1793" s="190"/>
      <c r="W1793" s="190"/>
      <c r="X1793" s="190"/>
      <c r="Y1793" s="190"/>
      <c r="Z1793" s="190"/>
      <c r="AA1793" s="190"/>
    </row>
    <row r="1794" spans="10:27" x14ac:dyDescent="0.25">
      <c r="J1794" s="190"/>
      <c r="K1794" s="190"/>
      <c r="L1794" s="190"/>
      <c r="M1794" s="190"/>
      <c r="O1794" s="190"/>
      <c r="P1794" s="190"/>
      <c r="Q1794" s="190"/>
      <c r="R1794" s="190"/>
      <c r="S1794" s="190"/>
      <c r="T1794" s="190"/>
      <c r="U1794" s="190"/>
      <c r="V1794" s="190"/>
      <c r="W1794" s="190"/>
      <c r="X1794" s="190"/>
      <c r="Y1794" s="190"/>
      <c r="Z1794" s="190"/>
      <c r="AA1794" s="190"/>
    </row>
    <row r="1795" spans="10:27" x14ac:dyDescent="0.25">
      <c r="J1795" s="190"/>
      <c r="K1795" s="190"/>
      <c r="L1795" s="190"/>
      <c r="M1795" s="190"/>
      <c r="O1795" s="190"/>
      <c r="P1795" s="190"/>
      <c r="Q1795" s="190"/>
      <c r="R1795" s="190"/>
      <c r="S1795" s="190"/>
      <c r="T1795" s="190"/>
      <c r="U1795" s="190"/>
      <c r="V1795" s="190"/>
      <c r="W1795" s="190"/>
      <c r="X1795" s="190"/>
      <c r="Y1795" s="190"/>
      <c r="Z1795" s="190"/>
      <c r="AA1795" s="190"/>
    </row>
    <row r="1796" spans="10:27" x14ac:dyDescent="0.25">
      <c r="J1796" s="190"/>
      <c r="K1796" s="190"/>
      <c r="L1796" s="190"/>
      <c r="M1796" s="190"/>
      <c r="O1796" s="190"/>
      <c r="P1796" s="190"/>
      <c r="Q1796" s="190"/>
      <c r="R1796" s="190"/>
      <c r="S1796" s="190"/>
      <c r="T1796" s="190"/>
      <c r="U1796" s="190"/>
      <c r="V1796" s="190"/>
      <c r="W1796" s="190"/>
      <c r="X1796" s="190"/>
      <c r="Y1796" s="190"/>
      <c r="Z1796" s="190"/>
      <c r="AA1796" s="190"/>
    </row>
    <row r="1797" spans="10:27" x14ac:dyDescent="0.25">
      <c r="J1797" s="190"/>
      <c r="K1797" s="190"/>
      <c r="L1797" s="190"/>
      <c r="M1797" s="190"/>
      <c r="O1797" s="190"/>
      <c r="P1797" s="190"/>
      <c r="Q1797" s="190"/>
      <c r="R1797" s="190"/>
      <c r="S1797" s="190"/>
      <c r="T1797" s="190"/>
      <c r="U1797" s="190"/>
      <c r="V1797" s="190"/>
      <c r="W1797" s="190"/>
      <c r="X1797" s="190"/>
      <c r="Y1797" s="190"/>
      <c r="Z1797" s="190"/>
      <c r="AA1797" s="190"/>
    </row>
    <row r="1798" spans="10:27" x14ac:dyDescent="0.25">
      <c r="J1798" s="190"/>
      <c r="K1798" s="190"/>
      <c r="L1798" s="190"/>
      <c r="M1798" s="190"/>
      <c r="O1798" s="190"/>
      <c r="P1798" s="190"/>
      <c r="Q1798" s="190"/>
      <c r="R1798" s="190"/>
      <c r="S1798" s="190"/>
      <c r="T1798" s="190"/>
      <c r="U1798" s="190"/>
      <c r="V1798" s="190"/>
      <c r="W1798" s="190"/>
      <c r="X1798" s="190"/>
      <c r="Y1798" s="190"/>
      <c r="Z1798" s="190"/>
      <c r="AA1798" s="190"/>
    </row>
    <row r="1799" spans="10:27" x14ac:dyDescent="0.25">
      <c r="J1799" s="190"/>
      <c r="K1799" s="190"/>
      <c r="L1799" s="190"/>
      <c r="M1799" s="190"/>
      <c r="O1799" s="190"/>
      <c r="P1799" s="190"/>
      <c r="Q1799" s="190"/>
      <c r="R1799" s="190"/>
      <c r="S1799" s="190"/>
      <c r="T1799" s="190"/>
      <c r="U1799" s="190"/>
      <c r="V1799" s="190"/>
      <c r="W1799" s="190"/>
      <c r="X1799" s="190"/>
      <c r="Y1799" s="190"/>
      <c r="Z1799" s="190"/>
      <c r="AA1799" s="190"/>
    </row>
    <row r="1800" spans="10:27" x14ac:dyDescent="0.25">
      <c r="J1800" s="190"/>
      <c r="K1800" s="190"/>
      <c r="L1800" s="190"/>
      <c r="M1800" s="190"/>
      <c r="O1800" s="190"/>
      <c r="P1800" s="190"/>
      <c r="Q1800" s="190"/>
      <c r="R1800" s="190"/>
      <c r="S1800" s="190"/>
      <c r="T1800" s="190"/>
      <c r="U1800" s="190"/>
      <c r="V1800" s="190"/>
      <c r="W1800" s="190"/>
      <c r="X1800" s="190"/>
      <c r="Y1800" s="190"/>
      <c r="Z1800" s="190"/>
      <c r="AA1800" s="190"/>
    </row>
    <row r="1801" spans="10:27" x14ac:dyDescent="0.25">
      <c r="J1801" s="190"/>
      <c r="K1801" s="190"/>
      <c r="L1801" s="190"/>
      <c r="M1801" s="190"/>
      <c r="O1801" s="190"/>
      <c r="P1801" s="190"/>
      <c r="Q1801" s="190"/>
      <c r="R1801" s="190"/>
      <c r="S1801" s="190"/>
      <c r="T1801" s="190"/>
      <c r="U1801" s="190"/>
      <c r="V1801" s="190"/>
      <c r="W1801" s="190"/>
      <c r="X1801" s="190"/>
      <c r="Y1801" s="190"/>
      <c r="Z1801" s="190"/>
      <c r="AA1801" s="190"/>
    </row>
    <row r="1802" spans="10:27" x14ac:dyDescent="0.25">
      <c r="J1802" s="190"/>
      <c r="K1802" s="190"/>
      <c r="L1802" s="190"/>
      <c r="M1802" s="190"/>
      <c r="O1802" s="190"/>
      <c r="P1802" s="190"/>
      <c r="Q1802" s="190"/>
      <c r="R1802" s="190"/>
      <c r="S1802" s="190"/>
      <c r="T1802" s="190"/>
      <c r="U1802" s="190"/>
      <c r="V1802" s="190"/>
      <c r="W1802" s="190"/>
      <c r="X1802" s="190"/>
      <c r="Y1802" s="190"/>
      <c r="Z1802" s="190"/>
      <c r="AA1802" s="190"/>
    </row>
    <row r="1803" spans="10:27" x14ac:dyDescent="0.25">
      <c r="J1803" s="190"/>
      <c r="K1803" s="190"/>
      <c r="L1803" s="190"/>
      <c r="M1803" s="190"/>
      <c r="O1803" s="190"/>
      <c r="P1803" s="190"/>
      <c r="Q1803" s="190"/>
      <c r="R1803" s="190"/>
      <c r="S1803" s="190"/>
      <c r="T1803" s="190"/>
      <c r="U1803" s="190"/>
      <c r="V1803" s="190"/>
      <c r="W1803" s="190"/>
      <c r="X1803" s="190"/>
      <c r="Y1803" s="190"/>
      <c r="Z1803" s="190"/>
      <c r="AA1803" s="190"/>
    </row>
    <row r="1804" spans="10:27" x14ac:dyDescent="0.25">
      <c r="J1804" s="190"/>
      <c r="K1804" s="190"/>
      <c r="L1804" s="190"/>
      <c r="M1804" s="190"/>
      <c r="O1804" s="190"/>
      <c r="P1804" s="190"/>
      <c r="Q1804" s="190"/>
      <c r="R1804" s="190"/>
      <c r="S1804" s="190"/>
      <c r="T1804" s="190"/>
      <c r="U1804" s="190"/>
      <c r="V1804" s="190"/>
      <c r="W1804" s="190"/>
      <c r="X1804" s="190"/>
      <c r="Y1804" s="190"/>
      <c r="Z1804" s="190"/>
      <c r="AA1804" s="190"/>
    </row>
    <row r="1805" spans="10:27" x14ac:dyDescent="0.25">
      <c r="J1805" s="190"/>
      <c r="K1805" s="190"/>
      <c r="L1805" s="190"/>
      <c r="M1805" s="190"/>
      <c r="O1805" s="190"/>
      <c r="P1805" s="190"/>
      <c r="Q1805" s="190"/>
      <c r="R1805" s="190"/>
      <c r="S1805" s="190"/>
      <c r="T1805" s="190"/>
      <c r="U1805" s="190"/>
      <c r="V1805" s="190"/>
      <c r="W1805" s="190"/>
      <c r="X1805" s="190"/>
      <c r="Y1805" s="190"/>
      <c r="Z1805" s="190"/>
      <c r="AA1805" s="190"/>
    </row>
    <row r="1806" spans="10:27" x14ac:dyDescent="0.25">
      <c r="J1806" s="190"/>
      <c r="K1806" s="190"/>
      <c r="L1806" s="190"/>
      <c r="M1806" s="190"/>
      <c r="O1806" s="190"/>
      <c r="P1806" s="190"/>
      <c r="Q1806" s="190"/>
      <c r="R1806" s="190"/>
      <c r="S1806" s="190"/>
      <c r="T1806" s="190"/>
      <c r="U1806" s="190"/>
      <c r="V1806" s="190"/>
      <c r="W1806" s="190"/>
      <c r="X1806" s="190"/>
      <c r="Y1806" s="190"/>
      <c r="Z1806" s="190"/>
      <c r="AA1806" s="190"/>
    </row>
    <row r="1807" spans="10:27" x14ac:dyDescent="0.25">
      <c r="J1807" s="190"/>
      <c r="K1807" s="190"/>
      <c r="L1807" s="190"/>
      <c r="M1807" s="190"/>
      <c r="O1807" s="190"/>
      <c r="P1807" s="190"/>
      <c r="Q1807" s="190"/>
      <c r="R1807" s="190"/>
      <c r="S1807" s="190"/>
      <c r="T1807" s="190"/>
      <c r="U1807" s="190"/>
      <c r="V1807" s="190"/>
      <c r="W1807" s="190"/>
      <c r="X1807" s="190"/>
      <c r="Y1807" s="190"/>
      <c r="Z1807" s="190"/>
      <c r="AA1807" s="190"/>
    </row>
    <row r="1808" spans="10:27" x14ac:dyDescent="0.25">
      <c r="J1808" s="190"/>
      <c r="K1808" s="190"/>
      <c r="L1808" s="190"/>
      <c r="M1808" s="190"/>
      <c r="O1808" s="190"/>
      <c r="P1808" s="190"/>
      <c r="Q1808" s="190"/>
      <c r="R1808" s="190"/>
      <c r="S1808" s="190"/>
      <c r="T1808" s="190"/>
      <c r="U1808" s="190"/>
      <c r="V1808" s="190"/>
      <c r="W1808" s="190"/>
      <c r="X1808" s="190"/>
      <c r="Y1808" s="190"/>
      <c r="Z1808" s="190"/>
      <c r="AA1808" s="190"/>
    </row>
    <row r="1809" spans="10:27" x14ac:dyDescent="0.25">
      <c r="J1809" s="190"/>
      <c r="K1809" s="190"/>
      <c r="L1809" s="190"/>
      <c r="M1809" s="190"/>
      <c r="O1809" s="190"/>
      <c r="P1809" s="190"/>
      <c r="Q1809" s="190"/>
      <c r="R1809" s="190"/>
      <c r="S1809" s="190"/>
      <c r="T1809" s="190"/>
      <c r="U1809" s="190"/>
      <c r="V1809" s="190"/>
      <c r="W1809" s="190"/>
      <c r="X1809" s="190"/>
      <c r="Y1809" s="190"/>
      <c r="Z1809" s="190"/>
      <c r="AA1809" s="190"/>
    </row>
    <row r="1810" spans="10:27" x14ac:dyDescent="0.25">
      <c r="J1810" s="190"/>
      <c r="K1810" s="190"/>
      <c r="L1810" s="190"/>
      <c r="M1810" s="190"/>
      <c r="O1810" s="190"/>
      <c r="P1810" s="190"/>
      <c r="Q1810" s="190"/>
      <c r="R1810" s="190"/>
      <c r="S1810" s="190"/>
      <c r="T1810" s="190"/>
      <c r="U1810" s="190"/>
      <c r="V1810" s="190"/>
      <c r="W1810" s="190"/>
      <c r="X1810" s="190"/>
      <c r="Y1810" s="190"/>
      <c r="Z1810" s="190"/>
      <c r="AA1810" s="190"/>
    </row>
    <row r="1811" spans="10:27" x14ac:dyDescent="0.25">
      <c r="J1811" s="190"/>
      <c r="K1811" s="190"/>
      <c r="L1811" s="190"/>
      <c r="M1811" s="190"/>
      <c r="O1811" s="190"/>
      <c r="P1811" s="190"/>
      <c r="Q1811" s="190"/>
      <c r="R1811" s="190"/>
      <c r="S1811" s="190"/>
      <c r="T1811" s="190"/>
      <c r="U1811" s="190"/>
      <c r="V1811" s="190"/>
      <c r="W1811" s="190"/>
      <c r="X1811" s="190"/>
      <c r="Y1811" s="190"/>
      <c r="Z1811" s="190"/>
      <c r="AA1811" s="190"/>
    </row>
    <row r="1812" spans="10:27" x14ac:dyDescent="0.25">
      <c r="J1812" s="190"/>
      <c r="K1812" s="190"/>
      <c r="L1812" s="190"/>
      <c r="M1812" s="190"/>
      <c r="O1812" s="190"/>
      <c r="P1812" s="190"/>
      <c r="Q1812" s="190"/>
      <c r="R1812" s="190"/>
      <c r="S1812" s="190"/>
      <c r="T1812" s="190"/>
      <c r="U1812" s="190"/>
      <c r="V1812" s="190"/>
      <c r="W1812" s="190"/>
      <c r="X1812" s="190"/>
      <c r="Y1812" s="190"/>
      <c r="Z1812" s="190"/>
      <c r="AA1812" s="190"/>
    </row>
    <row r="1813" spans="10:27" x14ac:dyDescent="0.25">
      <c r="J1813" s="190"/>
      <c r="K1813" s="190"/>
      <c r="L1813" s="190"/>
      <c r="M1813" s="190"/>
      <c r="O1813" s="190"/>
      <c r="P1813" s="190"/>
      <c r="Q1813" s="190"/>
      <c r="R1813" s="190"/>
      <c r="S1813" s="190"/>
      <c r="T1813" s="190"/>
      <c r="U1813" s="190"/>
      <c r="V1813" s="190"/>
      <c r="W1813" s="190"/>
      <c r="X1813" s="190"/>
      <c r="Y1813" s="190"/>
      <c r="Z1813" s="190"/>
      <c r="AA1813" s="190"/>
    </row>
    <row r="1814" spans="10:27" x14ac:dyDescent="0.25">
      <c r="J1814" s="190"/>
      <c r="K1814" s="190"/>
      <c r="L1814" s="190"/>
      <c r="M1814" s="190"/>
      <c r="O1814" s="190"/>
      <c r="P1814" s="190"/>
      <c r="Q1814" s="190"/>
      <c r="R1814" s="190"/>
      <c r="S1814" s="190"/>
      <c r="T1814" s="190"/>
      <c r="U1814" s="190"/>
      <c r="V1814" s="190"/>
      <c r="W1814" s="190"/>
      <c r="X1814" s="190"/>
      <c r="Y1814" s="190"/>
      <c r="Z1814" s="190"/>
      <c r="AA1814" s="190"/>
    </row>
    <row r="1815" spans="10:27" x14ac:dyDescent="0.25">
      <c r="J1815" s="190"/>
      <c r="K1815" s="190"/>
      <c r="L1815" s="190"/>
      <c r="M1815" s="190"/>
      <c r="O1815" s="190"/>
      <c r="P1815" s="190"/>
      <c r="Q1815" s="190"/>
      <c r="R1815" s="190"/>
      <c r="S1815" s="190"/>
      <c r="T1815" s="190"/>
      <c r="U1815" s="190"/>
      <c r="V1815" s="190"/>
      <c r="W1815" s="190"/>
      <c r="X1815" s="190"/>
      <c r="Y1815" s="190"/>
      <c r="Z1815" s="190"/>
      <c r="AA1815" s="190"/>
    </row>
    <row r="1816" spans="10:27" x14ac:dyDescent="0.25">
      <c r="J1816" s="190"/>
      <c r="K1816" s="190"/>
      <c r="L1816" s="190"/>
      <c r="M1816" s="190"/>
      <c r="O1816" s="190"/>
      <c r="P1816" s="190"/>
      <c r="Q1816" s="190"/>
      <c r="R1816" s="190"/>
      <c r="S1816" s="190"/>
      <c r="T1816" s="190"/>
      <c r="U1816" s="190"/>
      <c r="V1816" s="190"/>
      <c r="W1816" s="190"/>
      <c r="X1816" s="190"/>
      <c r="Y1816" s="190"/>
      <c r="Z1816" s="190"/>
      <c r="AA1816" s="190"/>
    </row>
    <row r="1817" spans="10:27" x14ac:dyDescent="0.25">
      <c r="J1817" s="190"/>
      <c r="K1817" s="190"/>
      <c r="L1817" s="190"/>
      <c r="M1817" s="190"/>
      <c r="O1817" s="190"/>
      <c r="P1817" s="190"/>
      <c r="Q1817" s="190"/>
      <c r="R1817" s="190"/>
      <c r="S1817" s="190"/>
      <c r="T1817" s="190"/>
      <c r="U1817" s="190"/>
      <c r="V1817" s="190"/>
      <c r="W1817" s="190"/>
      <c r="X1817" s="190"/>
      <c r="Y1817" s="190"/>
      <c r="Z1817" s="190"/>
      <c r="AA1817" s="190"/>
    </row>
    <row r="1818" spans="10:27" x14ac:dyDescent="0.25">
      <c r="J1818" s="190"/>
      <c r="K1818" s="190"/>
      <c r="L1818" s="190"/>
      <c r="M1818" s="190"/>
      <c r="O1818" s="190"/>
      <c r="P1818" s="190"/>
      <c r="Q1818" s="190"/>
      <c r="R1818" s="190"/>
      <c r="S1818" s="190"/>
      <c r="T1818" s="190"/>
      <c r="U1818" s="190"/>
      <c r="V1818" s="190"/>
      <c r="W1818" s="190"/>
      <c r="X1818" s="190"/>
      <c r="Y1818" s="190"/>
      <c r="Z1818" s="190"/>
      <c r="AA1818" s="190"/>
    </row>
    <row r="1819" spans="10:27" x14ac:dyDescent="0.25">
      <c r="J1819" s="190"/>
      <c r="K1819" s="190"/>
      <c r="L1819" s="190"/>
      <c r="M1819" s="190"/>
      <c r="O1819" s="190"/>
      <c r="P1819" s="190"/>
      <c r="Q1819" s="190"/>
      <c r="R1819" s="190"/>
      <c r="S1819" s="190"/>
      <c r="T1819" s="190"/>
      <c r="U1819" s="190"/>
      <c r="V1819" s="190"/>
      <c r="W1819" s="190"/>
      <c r="X1819" s="190"/>
      <c r="Y1819" s="190"/>
      <c r="Z1819" s="190"/>
      <c r="AA1819" s="190"/>
    </row>
    <row r="1820" spans="10:27" x14ac:dyDescent="0.25">
      <c r="J1820" s="190"/>
      <c r="K1820" s="190"/>
      <c r="L1820" s="190"/>
      <c r="M1820" s="190"/>
      <c r="O1820" s="190"/>
      <c r="P1820" s="190"/>
      <c r="Q1820" s="190"/>
      <c r="R1820" s="190"/>
      <c r="S1820" s="190"/>
      <c r="T1820" s="190"/>
      <c r="U1820" s="190"/>
      <c r="V1820" s="190"/>
      <c r="W1820" s="190"/>
      <c r="X1820" s="190"/>
      <c r="Y1820" s="190"/>
      <c r="Z1820" s="190"/>
      <c r="AA1820" s="190"/>
    </row>
    <row r="1821" spans="10:27" x14ac:dyDescent="0.25">
      <c r="J1821" s="190"/>
      <c r="K1821" s="190"/>
      <c r="L1821" s="190"/>
      <c r="M1821" s="190"/>
      <c r="O1821" s="190"/>
      <c r="P1821" s="190"/>
      <c r="Q1821" s="190"/>
      <c r="R1821" s="190"/>
      <c r="S1821" s="190"/>
      <c r="T1821" s="190"/>
      <c r="U1821" s="190"/>
      <c r="V1821" s="190"/>
      <c r="W1821" s="190"/>
      <c r="X1821" s="190"/>
      <c r="Y1821" s="190"/>
      <c r="Z1821" s="190"/>
      <c r="AA1821" s="190"/>
    </row>
    <row r="1822" spans="10:27" x14ac:dyDescent="0.25">
      <c r="J1822" s="190"/>
      <c r="K1822" s="190"/>
      <c r="L1822" s="190"/>
      <c r="M1822" s="190"/>
      <c r="O1822" s="190"/>
      <c r="P1822" s="190"/>
      <c r="Q1822" s="190"/>
      <c r="R1822" s="190"/>
      <c r="S1822" s="190"/>
      <c r="T1822" s="190"/>
      <c r="U1822" s="190"/>
      <c r="V1822" s="190"/>
      <c r="W1822" s="190"/>
      <c r="X1822" s="190"/>
      <c r="Y1822" s="190"/>
      <c r="Z1822" s="190"/>
      <c r="AA1822" s="190"/>
    </row>
    <row r="1823" spans="10:27" x14ac:dyDescent="0.25">
      <c r="J1823" s="190"/>
      <c r="K1823" s="190"/>
      <c r="L1823" s="190"/>
      <c r="M1823" s="190"/>
      <c r="O1823" s="190"/>
      <c r="P1823" s="190"/>
      <c r="Q1823" s="190"/>
      <c r="R1823" s="190"/>
      <c r="S1823" s="190"/>
      <c r="T1823" s="190"/>
      <c r="U1823" s="190"/>
      <c r="V1823" s="190"/>
      <c r="W1823" s="190"/>
      <c r="X1823" s="190"/>
      <c r="Y1823" s="190"/>
      <c r="Z1823" s="190"/>
      <c r="AA1823" s="190"/>
    </row>
    <row r="1824" spans="10:27" x14ac:dyDescent="0.25">
      <c r="J1824" s="190"/>
      <c r="K1824" s="190"/>
      <c r="L1824" s="190"/>
      <c r="M1824" s="190"/>
      <c r="O1824" s="190"/>
      <c r="P1824" s="190"/>
      <c r="Q1824" s="190"/>
      <c r="R1824" s="190"/>
      <c r="S1824" s="190"/>
      <c r="T1824" s="190"/>
      <c r="U1824" s="190"/>
      <c r="V1824" s="190"/>
      <c r="W1824" s="190"/>
      <c r="X1824" s="190"/>
      <c r="Y1824" s="190"/>
      <c r="Z1824" s="190"/>
      <c r="AA1824" s="190"/>
    </row>
    <row r="1825" spans="10:27" x14ac:dyDescent="0.25">
      <c r="J1825" s="190"/>
      <c r="K1825" s="190"/>
      <c r="L1825" s="190"/>
      <c r="M1825" s="190"/>
      <c r="O1825" s="190"/>
      <c r="P1825" s="190"/>
      <c r="Q1825" s="190"/>
      <c r="R1825" s="190"/>
      <c r="S1825" s="190"/>
      <c r="T1825" s="190"/>
      <c r="U1825" s="190"/>
      <c r="V1825" s="190"/>
      <c r="W1825" s="190"/>
      <c r="X1825" s="190"/>
      <c r="Y1825" s="190"/>
      <c r="Z1825" s="190"/>
      <c r="AA1825" s="190"/>
    </row>
    <row r="1826" spans="10:27" x14ac:dyDescent="0.25">
      <c r="J1826" s="190"/>
      <c r="K1826" s="190"/>
      <c r="L1826" s="190"/>
      <c r="M1826" s="190"/>
      <c r="O1826" s="190"/>
      <c r="P1826" s="190"/>
      <c r="Q1826" s="190"/>
      <c r="R1826" s="190"/>
      <c r="S1826" s="190"/>
      <c r="T1826" s="190"/>
      <c r="U1826" s="190"/>
      <c r="V1826" s="190"/>
      <c r="W1826" s="190"/>
      <c r="X1826" s="190"/>
      <c r="Y1826" s="190"/>
      <c r="Z1826" s="190"/>
      <c r="AA1826" s="190"/>
    </row>
    <row r="1827" spans="10:27" x14ac:dyDescent="0.25">
      <c r="J1827" s="190"/>
      <c r="K1827" s="190"/>
      <c r="L1827" s="190"/>
      <c r="M1827" s="190"/>
      <c r="O1827" s="190"/>
      <c r="P1827" s="190"/>
      <c r="Q1827" s="190"/>
      <c r="R1827" s="190"/>
      <c r="S1827" s="190"/>
      <c r="T1827" s="190"/>
      <c r="U1827" s="190"/>
      <c r="V1827" s="190"/>
      <c r="W1827" s="190"/>
      <c r="X1827" s="190"/>
      <c r="Y1827" s="190"/>
      <c r="Z1827" s="190"/>
      <c r="AA1827" s="190"/>
    </row>
    <row r="1828" spans="10:27" x14ac:dyDescent="0.25">
      <c r="J1828" s="190"/>
      <c r="K1828" s="190"/>
      <c r="L1828" s="190"/>
      <c r="M1828" s="190"/>
      <c r="O1828" s="190"/>
      <c r="P1828" s="190"/>
      <c r="Q1828" s="190"/>
      <c r="R1828" s="190"/>
      <c r="S1828" s="190"/>
      <c r="T1828" s="190"/>
      <c r="U1828" s="190"/>
      <c r="V1828" s="190"/>
      <c r="W1828" s="190"/>
      <c r="X1828" s="190"/>
      <c r="Y1828" s="190"/>
      <c r="Z1828" s="190"/>
      <c r="AA1828" s="190"/>
    </row>
    <row r="1829" spans="10:27" x14ac:dyDescent="0.25">
      <c r="J1829" s="190"/>
      <c r="K1829" s="190"/>
      <c r="L1829" s="190"/>
      <c r="M1829" s="190"/>
      <c r="O1829" s="190"/>
      <c r="P1829" s="190"/>
      <c r="Q1829" s="190"/>
      <c r="R1829" s="190"/>
      <c r="S1829" s="190"/>
      <c r="T1829" s="190"/>
      <c r="U1829" s="190"/>
      <c r="V1829" s="190"/>
      <c r="W1829" s="190"/>
      <c r="X1829" s="190"/>
      <c r="Y1829" s="190"/>
      <c r="Z1829" s="190"/>
      <c r="AA1829" s="190"/>
    </row>
    <row r="1830" spans="10:27" x14ac:dyDescent="0.25">
      <c r="J1830" s="190"/>
      <c r="K1830" s="190"/>
      <c r="L1830" s="190"/>
      <c r="M1830" s="190"/>
      <c r="O1830" s="190"/>
      <c r="P1830" s="190"/>
      <c r="Q1830" s="190"/>
      <c r="R1830" s="190"/>
      <c r="S1830" s="190"/>
      <c r="T1830" s="190"/>
      <c r="U1830" s="190"/>
      <c r="V1830" s="190"/>
      <c r="W1830" s="190"/>
      <c r="X1830" s="190"/>
      <c r="Y1830" s="190"/>
      <c r="Z1830" s="190"/>
      <c r="AA1830" s="190"/>
    </row>
    <row r="1831" spans="10:27" x14ac:dyDescent="0.25">
      <c r="J1831" s="190"/>
      <c r="K1831" s="190"/>
      <c r="L1831" s="190"/>
      <c r="M1831" s="190"/>
      <c r="O1831" s="190"/>
      <c r="P1831" s="190"/>
      <c r="Q1831" s="190"/>
      <c r="R1831" s="190"/>
      <c r="S1831" s="190"/>
      <c r="T1831" s="190"/>
      <c r="U1831" s="190"/>
      <c r="V1831" s="190"/>
      <c r="W1831" s="190"/>
      <c r="X1831" s="190"/>
      <c r="Y1831" s="190"/>
      <c r="Z1831" s="190"/>
      <c r="AA1831" s="190"/>
    </row>
    <row r="1832" spans="10:27" x14ac:dyDescent="0.25">
      <c r="J1832" s="190"/>
      <c r="K1832" s="190"/>
      <c r="L1832" s="190"/>
      <c r="M1832" s="190"/>
      <c r="O1832" s="190"/>
      <c r="P1832" s="190"/>
      <c r="Q1832" s="190"/>
      <c r="R1832" s="190"/>
      <c r="S1832" s="190"/>
      <c r="T1832" s="190"/>
      <c r="U1832" s="190"/>
      <c r="V1832" s="190"/>
      <c r="W1832" s="190"/>
      <c r="X1832" s="190"/>
      <c r="Y1832" s="190"/>
      <c r="Z1832" s="190"/>
      <c r="AA1832" s="190"/>
    </row>
    <row r="1833" spans="10:27" x14ac:dyDescent="0.25">
      <c r="J1833" s="190"/>
      <c r="K1833" s="190"/>
      <c r="L1833" s="190"/>
      <c r="M1833" s="190"/>
      <c r="O1833" s="190"/>
      <c r="P1833" s="190"/>
      <c r="Q1833" s="190"/>
      <c r="R1833" s="190"/>
      <c r="S1833" s="190"/>
      <c r="T1833" s="190"/>
      <c r="U1833" s="190"/>
      <c r="V1833" s="190"/>
      <c r="W1833" s="190"/>
      <c r="X1833" s="190"/>
      <c r="Y1833" s="190"/>
      <c r="Z1833" s="190"/>
      <c r="AA1833" s="190"/>
    </row>
    <row r="1834" spans="10:27" x14ac:dyDescent="0.25">
      <c r="J1834" s="190"/>
      <c r="K1834" s="190"/>
      <c r="L1834" s="190"/>
      <c r="M1834" s="190"/>
      <c r="O1834" s="190"/>
      <c r="P1834" s="190"/>
      <c r="Q1834" s="190"/>
      <c r="R1834" s="190"/>
      <c r="S1834" s="190"/>
      <c r="T1834" s="190"/>
      <c r="U1834" s="190"/>
      <c r="V1834" s="190"/>
      <c r="W1834" s="190"/>
      <c r="X1834" s="190"/>
      <c r="Y1834" s="190"/>
      <c r="Z1834" s="190"/>
      <c r="AA1834" s="190"/>
    </row>
    <row r="1835" spans="10:27" x14ac:dyDescent="0.25">
      <c r="J1835" s="190"/>
      <c r="K1835" s="190"/>
      <c r="L1835" s="190"/>
      <c r="M1835" s="190"/>
      <c r="O1835" s="190"/>
      <c r="P1835" s="190"/>
      <c r="Q1835" s="190"/>
      <c r="R1835" s="190"/>
      <c r="S1835" s="190"/>
      <c r="T1835" s="190"/>
      <c r="U1835" s="190"/>
      <c r="V1835" s="190"/>
      <c r="W1835" s="190"/>
      <c r="X1835" s="190"/>
      <c r="Y1835" s="190"/>
      <c r="Z1835" s="190"/>
      <c r="AA1835" s="190"/>
    </row>
    <row r="1836" spans="10:27" x14ac:dyDescent="0.25">
      <c r="J1836" s="190"/>
      <c r="K1836" s="190"/>
      <c r="L1836" s="190"/>
      <c r="M1836" s="190"/>
      <c r="O1836" s="190"/>
      <c r="P1836" s="190"/>
      <c r="Q1836" s="190"/>
      <c r="R1836" s="190"/>
      <c r="S1836" s="190"/>
      <c r="T1836" s="190"/>
      <c r="U1836" s="190"/>
      <c r="V1836" s="190"/>
      <c r="W1836" s="190"/>
      <c r="X1836" s="190"/>
      <c r="Y1836" s="190"/>
      <c r="Z1836" s="190"/>
      <c r="AA1836" s="190"/>
    </row>
    <row r="1837" spans="10:27" x14ac:dyDescent="0.25">
      <c r="J1837" s="190"/>
      <c r="K1837" s="190"/>
      <c r="L1837" s="190"/>
      <c r="M1837" s="190"/>
      <c r="O1837" s="190"/>
      <c r="P1837" s="190"/>
      <c r="Q1837" s="190"/>
      <c r="R1837" s="190"/>
      <c r="S1837" s="190"/>
      <c r="T1837" s="190"/>
      <c r="U1837" s="190"/>
      <c r="V1837" s="190"/>
      <c r="W1837" s="190"/>
      <c r="X1837" s="190"/>
      <c r="Y1837" s="190"/>
      <c r="Z1837" s="190"/>
      <c r="AA1837" s="190"/>
    </row>
    <row r="1838" spans="10:27" x14ac:dyDescent="0.25">
      <c r="J1838" s="190"/>
      <c r="K1838" s="190"/>
      <c r="L1838" s="190"/>
      <c r="M1838" s="190"/>
      <c r="O1838" s="190"/>
      <c r="P1838" s="190"/>
      <c r="Q1838" s="190"/>
      <c r="R1838" s="190"/>
      <c r="S1838" s="190"/>
      <c r="T1838" s="190"/>
      <c r="U1838" s="190"/>
      <c r="V1838" s="190"/>
      <c r="W1838" s="190"/>
      <c r="X1838" s="190"/>
      <c r="Y1838" s="190"/>
      <c r="Z1838" s="190"/>
      <c r="AA1838" s="190"/>
    </row>
    <row r="1839" spans="10:27" x14ac:dyDescent="0.25">
      <c r="J1839" s="190"/>
      <c r="K1839" s="190"/>
      <c r="L1839" s="190"/>
      <c r="M1839" s="190"/>
      <c r="O1839" s="190"/>
      <c r="P1839" s="190"/>
      <c r="Q1839" s="190"/>
      <c r="R1839" s="190"/>
      <c r="S1839" s="190"/>
      <c r="T1839" s="190"/>
      <c r="U1839" s="190"/>
      <c r="V1839" s="190"/>
      <c r="W1839" s="190"/>
      <c r="X1839" s="190"/>
      <c r="Y1839" s="190"/>
      <c r="Z1839" s="190"/>
      <c r="AA1839" s="190"/>
    </row>
    <row r="1840" spans="10:27" x14ac:dyDescent="0.25">
      <c r="J1840" s="190"/>
      <c r="K1840" s="190"/>
      <c r="L1840" s="190"/>
      <c r="M1840" s="190"/>
      <c r="O1840" s="190"/>
      <c r="P1840" s="190"/>
      <c r="Q1840" s="190"/>
      <c r="R1840" s="190"/>
      <c r="S1840" s="190"/>
      <c r="T1840" s="190"/>
      <c r="U1840" s="190"/>
      <c r="V1840" s="190"/>
      <c r="W1840" s="190"/>
      <c r="X1840" s="190"/>
      <c r="Y1840" s="190"/>
      <c r="Z1840" s="190"/>
      <c r="AA1840" s="190"/>
    </row>
    <row r="1841" spans="10:27" x14ac:dyDescent="0.25">
      <c r="J1841" s="190"/>
      <c r="K1841" s="190"/>
      <c r="L1841" s="190"/>
      <c r="M1841" s="190"/>
      <c r="O1841" s="190"/>
      <c r="P1841" s="190"/>
      <c r="Q1841" s="190"/>
      <c r="R1841" s="190"/>
      <c r="S1841" s="190"/>
      <c r="T1841" s="190"/>
      <c r="U1841" s="190"/>
      <c r="V1841" s="190"/>
      <c r="W1841" s="190"/>
      <c r="X1841" s="190"/>
      <c r="Y1841" s="190"/>
      <c r="Z1841" s="190"/>
      <c r="AA1841" s="190"/>
    </row>
    <row r="1842" spans="10:27" x14ac:dyDescent="0.25">
      <c r="J1842" s="190"/>
      <c r="K1842" s="190"/>
      <c r="L1842" s="190"/>
      <c r="M1842" s="190"/>
      <c r="O1842" s="190"/>
      <c r="P1842" s="190"/>
      <c r="Q1842" s="190"/>
      <c r="R1842" s="190"/>
      <c r="S1842" s="190"/>
      <c r="T1842" s="190"/>
      <c r="U1842" s="190"/>
      <c r="V1842" s="190"/>
      <c r="W1842" s="190"/>
      <c r="X1842" s="190"/>
      <c r="Y1842" s="190"/>
      <c r="Z1842" s="190"/>
      <c r="AA1842" s="190"/>
    </row>
    <row r="1843" spans="10:27" x14ac:dyDescent="0.25">
      <c r="J1843" s="190"/>
      <c r="K1843" s="190"/>
      <c r="L1843" s="190"/>
      <c r="M1843" s="190"/>
      <c r="O1843" s="190"/>
      <c r="P1843" s="190"/>
      <c r="Q1843" s="190"/>
      <c r="R1843" s="190"/>
      <c r="S1843" s="190"/>
      <c r="T1843" s="190"/>
      <c r="U1843" s="190"/>
      <c r="V1843" s="190"/>
      <c r="W1843" s="190"/>
      <c r="X1843" s="190"/>
      <c r="Y1843" s="190"/>
      <c r="Z1843" s="190"/>
      <c r="AA1843" s="190"/>
    </row>
    <row r="1844" spans="10:27" x14ac:dyDescent="0.25">
      <c r="J1844" s="190"/>
      <c r="K1844" s="190"/>
      <c r="L1844" s="190"/>
      <c r="M1844" s="190"/>
      <c r="O1844" s="190"/>
      <c r="P1844" s="190"/>
      <c r="Q1844" s="190"/>
      <c r="R1844" s="190"/>
      <c r="S1844" s="190"/>
      <c r="T1844" s="190"/>
      <c r="U1844" s="190"/>
      <c r="V1844" s="190"/>
      <c r="W1844" s="190"/>
      <c r="X1844" s="190"/>
      <c r="Y1844" s="190"/>
      <c r="Z1844" s="190"/>
      <c r="AA1844" s="190"/>
    </row>
    <row r="1845" spans="10:27" x14ac:dyDescent="0.25">
      <c r="J1845" s="190"/>
      <c r="K1845" s="190"/>
      <c r="L1845" s="190"/>
      <c r="M1845" s="190"/>
      <c r="O1845" s="190"/>
      <c r="P1845" s="190"/>
      <c r="Q1845" s="190"/>
      <c r="R1845" s="190"/>
      <c r="S1845" s="190"/>
      <c r="T1845" s="190"/>
      <c r="U1845" s="190"/>
      <c r="V1845" s="190"/>
      <c r="W1845" s="190"/>
      <c r="X1845" s="190"/>
      <c r="Y1845" s="190"/>
      <c r="Z1845" s="190"/>
      <c r="AA1845" s="190"/>
    </row>
    <row r="1846" spans="10:27" x14ac:dyDescent="0.25">
      <c r="J1846" s="190"/>
      <c r="K1846" s="190"/>
      <c r="L1846" s="190"/>
      <c r="M1846" s="190"/>
      <c r="O1846" s="190"/>
      <c r="P1846" s="190"/>
      <c r="Q1846" s="190"/>
      <c r="R1846" s="190"/>
      <c r="S1846" s="190"/>
      <c r="T1846" s="190"/>
      <c r="U1846" s="190"/>
      <c r="V1846" s="190"/>
      <c r="W1846" s="190"/>
      <c r="X1846" s="190"/>
      <c r="Y1846" s="190"/>
      <c r="Z1846" s="190"/>
      <c r="AA1846" s="190"/>
    </row>
    <row r="1847" spans="10:27" x14ac:dyDescent="0.25">
      <c r="J1847" s="190"/>
      <c r="K1847" s="190"/>
      <c r="L1847" s="190"/>
      <c r="M1847" s="190"/>
      <c r="O1847" s="190"/>
      <c r="P1847" s="190"/>
      <c r="Q1847" s="190"/>
      <c r="R1847" s="190"/>
      <c r="S1847" s="190"/>
      <c r="T1847" s="190"/>
      <c r="U1847" s="190"/>
      <c r="V1847" s="190"/>
      <c r="W1847" s="190"/>
      <c r="X1847" s="190"/>
      <c r="Y1847" s="190"/>
      <c r="Z1847" s="190"/>
      <c r="AA1847" s="190"/>
    </row>
    <row r="1848" spans="10:27" x14ac:dyDescent="0.25">
      <c r="J1848" s="190"/>
      <c r="K1848" s="190"/>
      <c r="L1848" s="190"/>
      <c r="M1848" s="190"/>
      <c r="O1848" s="190"/>
      <c r="P1848" s="190"/>
      <c r="Q1848" s="190"/>
      <c r="R1848" s="190"/>
      <c r="S1848" s="190"/>
      <c r="T1848" s="190"/>
      <c r="U1848" s="190"/>
      <c r="V1848" s="190"/>
      <c r="W1848" s="190"/>
      <c r="X1848" s="190"/>
      <c r="Y1848" s="190"/>
      <c r="Z1848" s="190"/>
      <c r="AA1848" s="190"/>
    </row>
    <row r="1849" spans="10:27" x14ac:dyDescent="0.25">
      <c r="J1849" s="190"/>
      <c r="K1849" s="190"/>
      <c r="L1849" s="190"/>
      <c r="M1849" s="190"/>
      <c r="O1849" s="190"/>
      <c r="P1849" s="190"/>
      <c r="Q1849" s="190"/>
      <c r="R1849" s="190"/>
      <c r="S1849" s="190"/>
      <c r="T1849" s="190"/>
      <c r="U1849" s="190"/>
      <c r="V1849" s="190"/>
      <c r="W1849" s="190"/>
      <c r="X1849" s="190"/>
      <c r="Y1849" s="190"/>
      <c r="Z1849" s="190"/>
      <c r="AA1849" s="190"/>
    </row>
    <row r="1850" spans="10:27" x14ac:dyDescent="0.25">
      <c r="J1850" s="190"/>
      <c r="K1850" s="190"/>
      <c r="L1850" s="190"/>
      <c r="M1850" s="190"/>
      <c r="O1850" s="190"/>
      <c r="P1850" s="190"/>
      <c r="Q1850" s="190"/>
      <c r="R1850" s="190"/>
      <c r="S1850" s="190"/>
      <c r="T1850" s="190"/>
      <c r="U1850" s="190"/>
      <c r="V1850" s="190"/>
      <c r="W1850" s="190"/>
      <c r="X1850" s="190"/>
      <c r="Y1850" s="190"/>
      <c r="Z1850" s="190"/>
      <c r="AA1850" s="190"/>
    </row>
    <row r="1851" spans="10:27" x14ac:dyDescent="0.25">
      <c r="J1851" s="190"/>
      <c r="K1851" s="190"/>
      <c r="L1851" s="190"/>
      <c r="M1851" s="190"/>
      <c r="O1851" s="190"/>
      <c r="P1851" s="190"/>
      <c r="Q1851" s="190"/>
      <c r="R1851" s="190"/>
      <c r="S1851" s="190"/>
      <c r="T1851" s="190"/>
      <c r="U1851" s="190"/>
      <c r="V1851" s="190"/>
      <c r="W1851" s="190"/>
      <c r="X1851" s="190"/>
      <c r="Y1851" s="190"/>
      <c r="Z1851" s="190"/>
      <c r="AA1851" s="190"/>
    </row>
    <row r="1852" spans="10:27" x14ac:dyDescent="0.25">
      <c r="J1852" s="190"/>
      <c r="K1852" s="190"/>
      <c r="L1852" s="190"/>
      <c r="M1852" s="190"/>
      <c r="O1852" s="190"/>
      <c r="P1852" s="190"/>
      <c r="Q1852" s="190"/>
      <c r="R1852" s="190"/>
      <c r="S1852" s="190"/>
      <c r="T1852" s="190"/>
      <c r="U1852" s="190"/>
      <c r="V1852" s="190"/>
      <c r="W1852" s="190"/>
      <c r="X1852" s="190"/>
      <c r="Y1852" s="190"/>
      <c r="Z1852" s="190"/>
      <c r="AA1852" s="190"/>
    </row>
    <row r="1853" spans="10:27" x14ac:dyDescent="0.25">
      <c r="J1853" s="190"/>
      <c r="K1853" s="190"/>
      <c r="L1853" s="190"/>
      <c r="M1853" s="190"/>
      <c r="O1853" s="190"/>
      <c r="P1853" s="190"/>
      <c r="Q1853" s="190"/>
      <c r="R1853" s="190"/>
      <c r="S1853" s="190"/>
      <c r="T1853" s="190"/>
      <c r="U1853" s="190"/>
      <c r="V1853" s="190"/>
      <c r="W1853" s="190"/>
      <c r="X1853" s="190"/>
      <c r="Y1853" s="190"/>
      <c r="Z1853" s="190"/>
      <c r="AA1853" s="190"/>
    </row>
    <row r="1854" spans="10:27" x14ac:dyDescent="0.25">
      <c r="J1854" s="190"/>
      <c r="K1854" s="190"/>
      <c r="L1854" s="190"/>
      <c r="M1854" s="190"/>
      <c r="O1854" s="190"/>
      <c r="P1854" s="190"/>
      <c r="Q1854" s="190"/>
      <c r="R1854" s="190"/>
      <c r="S1854" s="190"/>
      <c r="T1854" s="190"/>
      <c r="U1854" s="190"/>
      <c r="V1854" s="190"/>
      <c r="W1854" s="190"/>
      <c r="X1854" s="190"/>
      <c r="Y1854" s="190"/>
      <c r="Z1854" s="190"/>
      <c r="AA1854" s="190"/>
    </row>
    <row r="1855" spans="10:27" x14ac:dyDescent="0.25">
      <c r="J1855" s="190"/>
      <c r="K1855" s="190"/>
      <c r="L1855" s="190"/>
      <c r="M1855" s="190"/>
      <c r="O1855" s="190"/>
      <c r="P1855" s="190"/>
      <c r="Q1855" s="190"/>
      <c r="R1855" s="190"/>
      <c r="S1855" s="190"/>
      <c r="T1855" s="190"/>
      <c r="U1855" s="190"/>
      <c r="V1855" s="190"/>
      <c r="W1855" s="190"/>
      <c r="X1855" s="190"/>
      <c r="Y1855" s="190"/>
      <c r="Z1855" s="190"/>
      <c r="AA1855" s="190"/>
    </row>
    <row r="1856" spans="10:27" x14ac:dyDescent="0.25">
      <c r="J1856" s="190"/>
      <c r="K1856" s="190"/>
      <c r="L1856" s="190"/>
      <c r="M1856" s="190"/>
      <c r="O1856" s="190"/>
      <c r="P1856" s="190"/>
      <c r="Q1856" s="190"/>
      <c r="R1856" s="190"/>
      <c r="S1856" s="190"/>
      <c r="T1856" s="190"/>
      <c r="U1856" s="190"/>
      <c r="V1856" s="190"/>
      <c r="W1856" s="190"/>
      <c r="X1856" s="190"/>
      <c r="Y1856" s="190"/>
      <c r="Z1856" s="190"/>
      <c r="AA1856" s="190"/>
    </row>
    <row r="1857" spans="10:27" x14ac:dyDescent="0.25">
      <c r="J1857" s="190"/>
      <c r="K1857" s="190"/>
      <c r="L1857" s="190"/>
      <c r="M1857" s="190"/>
      <c r="O1857" s="190"/>
      <c r="P1857" s="190"/>
      <c r="Q1857" s="190"/>
      <c r="R1857" s="190"/>
      <c r="S1857" s="190"/>
      <c r="T1857" s="190"/>
      <c r="U1857" s="190"/>
      <c r="V1857" s="190"/>
      <c r="W1857" s="190"/>
      <c r="X1857" s="190"/>
      <c r="Y1857" s="190"/>
      <c r="Z1857" s="190"/>
      <c r="AA1857" s="190"/>
    </row>
    <row r="1858" spans="10:27" x14ac:dyDescent="0.25">
      <c r="J1858" s="190"/>
      <c r="K1858" s="190"/>
      <c r="L1858" s="190"/>
      <c r="M1858" s="190"/>
      <c r="O1858" s="190"/>
      <c r="P1858" s="190"/>
      <c r="Q1858" s="190"/>
      <c r="R1858" s="190"/>
      <c r="S1858" s="190"/>
      <c r="T1858" s="190"/>
      <c r="U1858" s="190"/>
      <c r="V1858" s="190"/>
      <c r="W1858" s="190"/>
      <c r="X1858" s="190"/>
      <c r="Y1858" s="190"/>
      <c r="Z1858" s="190"/>
      <c r="AA1858" s="190"/>
    </row>
    <row r="1859" spans="10:27" x14ac:dyDescent="0.25">
      <c r="J1859" s="190"/>
      <c r="K1859" s="190"/>
      <c r="L1859" s="190"/>
      <c r="M1859" s="190"/>
      <c r="O1859" s="190"/>
      <c r="P1859" s="190"/>
      <c r="Q1859" s="190"/>
      <c r="R1859" s="190"/>
      <c r="S1859" s="190"/>
      <c r="T1859" s="190"/>
      <c r="U1859" s="190"/>
      <c r="V1859" s="190"/>
      <c r="W1859" s="190"/>
      <c r="X1859" s="190"/>
      <c r="Y1859" s="190"/>
      <c r="Z1859" s="190"/>
      <c r="AA1859" s="190"/>
    </row>
    <row r="1860" spans="10:27" x14ac:dyDescent="0.25">
      <c r="J1860" s="190"/>
      <c r="K1860" s="190"/>
      <c r="L1860" s="190"/>
      <c r="M1860" s="190"/>
      <c r="O1860" s="190"/>
      <c r="P1860" s="190"/>
      <c r="Q1860" s="190"/>
      <c r="R1860" s="190"/>
      <c r="S1860" s="190"/>
      <c r="T1860" s="190"/>
      <c r="U1860" s="190"/>
      <c r="V1860" s="190"/>
      <c r="W1860" s="190"/>
      <c r="X1860" s="190"/>
      <c r="Y1860" s="190"/>
      <c r="Z1860" s="190"/>
      <c r="AA1860" s="190"/>
    </row>
    <row r="1861" spans="10:27" x14ac:dyDescent="0.25">
      <c r="J1861" s="190"/>
      <c r="K1861" s="190"/>
      <c r="L1861" s="190"/>
      <c r="M1861" s="190"/>
      <c r="O1861" s="190"/>
      <c r="P1861" s="190"/>
      <c r="Q1861" s="190"/>
      <c r="R1861" s="190"/>
      <c r="S1861" s="190"/>
      <c r="T1861" s="190"/>
      <c r="U1861" s="190"/>
      <c r="V1861" s="190"/>
      <c r="W1861" s="190"/>
      <c r="X1861" s="190"/>
      <c r="Y1861" s="190"/>
      <c r="Z1861" s="190"/>
      <c r="AA1861" s="190"/>
    </row>
    <row r="1862" spans="10:27" x14ac:dyDescent="0.25">
      <c r="J1862" s="190"/>
      <c r="K1862" s="190"/>
      <c r="L1862" s="190"/>
      <c r="M1862" s="190"/>
      <c r="O1862" s="190"/>
      <c r="P1862" s="190"/>
      <c r="Q1862" s="190"/>
      <c r="R1862" s="190"/>
      <c r="S1862" s="190"/>
      <c r="T1862" s="190"/>
      <c r="U1862" s="190"/>
      <c r="V1862" s="190"/>
      <c r="W1862" s="190"/>
      <c r="X1862" s="190"/>
      <c r="Y1862" s="190"/>
      <c r="Z1862" s="190"/>
      <c r="AA1862" s="190"/>
    </row>
    <row r="1863" spans="10:27" x14ac:dyDescent="0.25">
      <c r="J1863" s="190"/>
      <c r="K1863" s="190"/>
      <c r="L1863" s="190"/>
      <c r="M1863" s="190"/>
      <c r="O1863" s="190"/>
      <c r="P1863" s="190"/>
      <c r="Q1863" s="190"/>
      <c r="R1863" s="190"/>
      <c r="S1863" s="190"/>
      <c r="T1863" s="190"/>
      <c r="U1863" s="190"/>
      <c r="V1863" s="190"/>
      <c r="W1863" s="190"/>
      <c r="X1863" s="190"/>
      <c r="Y1863" s="190"/>
      <c r="Z1863" s="190"/>
      <c r="AA1863" s="190"/>
    </row>
    <row r="1864" spans="10:27" x14ac:dyDescent="0.25">
      <c r="J1864" s="190"/>
      <c r="K1864" s="190"/>
      <c r="L1864" s="190"/>
      <c r="M1864" s="190"/>
      <c r="O1864" s="190"/>
      <c r="P1864" s="190"/>
      <c r="Q1864" s="190"/>
      <c r="R1864" s="190"/>
      <c r="S1864" s="190"/>
      <c r="T1864" s="190"/>
      <c r="U1864" s="190"/>
      <c r="V1864" s="190"/>
      <c r="W1864" s="190"/>
      <c r="X1864" s="190"/>
      <c r="Y1864" s="190"/>
      <c r="Z1864" s="190"/>
      <c r="AA1864" s="190"/>
    </row>
    <row r="1865" spans="10:27" x14ac:dyDescent="0.25">
      <c r="J1865" s="190"/>
      <c r="K1865" s="190"/>
      <c r="L1865" s="190"/>
      <c r="M1865" s="190"/>
      <c r="O1865" s="190"/>
      <c r="P1865" s="190"/>
      <c r="Q1865" s="190"/>
      <c r="R1865" s="190"/>
      <c r="S1865" s="190"/>
      <c r="T1865" s="190"/>
      <c r="U1865" s="190"/>
      <c r="V1865" s="190"/>
      <c r="W1865" s="190"/>
      <c r="X1865" s="190"/>
      <c r="Y1865" s="190"/>
      <c r="Z1865" s="190"/>
      <c r="AA1865" s="190"/>
    </row>
    <row r="1866" spans="10:27" x14ac:dyDescent="0.25">
      <c r="J1866" s="190"/>
      <c r="K1866" s="190"/>
      <c r="L1866" s="190"/>
      <c r="M1866" s="190"/>
      <c r="O1866" s="190"/>
      <c r="P1866" s="190"/>
      <c r="Q1866" s="190"/>
      <c r="R1866" s="190"/>
      <c r="S1866" s="190"/>
      <c r="T1866" s="190"/>
      <c r="U1866" s="190"/>
      <c r="V1866" s="190"/>
      <c r="W1866" s="190"/>
      <c r="X1866" s="190"/>
      <c r="Y1866" s="190"/>
      <c r="Z1866" s="190"/>
      <c r="AA1866" s="190"/>
    </row>
    <row r="1867" spans="10:27" x14ac:dyDescent="0.25">
      <c r="J1867" s="190"/>
      <c r="K1867" s="190"/>
      <c r="L1867" s="190"/>
      <c r="M1867" s="190"/>
      <c r="O1867" s="190"/>
      <c r="P1867" s="190"/>
      <c r="Q1867" s="190"/>
      <c r="R1867" s="190"/>
      <c r="S1867" s="190"/>
      <c r="T1867" s="190"/>
      <c r="U1867" s="190"/>
      <c r="V1867" s="190"/>
      <c r="W1867" s="190"/>
      <c r="X1867" s="190"/>
      <c r="Y1867" s="190"/>
      <c r="Z1867" s="190"/>
      <c r="AA1867" s="190"/>
    </row>
    <row r="1868" spans="10:27" x14ac:dyDescent="0.25">
      <c r="J1868" s="190"/>
      <c r="K1868" s="190"/>
      <c r="L1868" s="190"/>
      <c r="M1868" s="190"/>
      <c r="O1868" s="190"/>
      <c r="P1868" s="190"/>
      <c r="Q1868" s="190"/>
      <c r="R1868" s="190"/>
      <c r="S1868" s="190"/>
      <c r="T1868" s="190"/>
      <c r="U1868" s="190"/>
      <c r="V1868" s="190"/>
      <c r="W1868" s="190"/>
      <c r="X1868" s="190"/>
      <c r="Y1868" s="190"/>
      <c r="Z1868" s="190"/>
      <c r="AA1868" s="190"/>
    </row>
    <row r="1869" spans="10:27" x14ac:dyDescent="0.25">
      <c r="J1869" s="190"/>
      <c r="K1869" s="190"/>
      <c r="L1869" s="190"/>
      <c r="M1869" s="190"/>
      <c r="O1869" s="190"/>
      <c r="P1869" s="190"/>
      <c r="Q1869" s="190"/>
      <c r="R1869" s="190"/>
      <c r="S1869" s="190"/>
      <c r="T1869" s="190"/>
      <c r="U1869" s="190"/>
      <c r="V1869" s="190"/>
      <c r="W1869" s="190"/>
      <c r="X1869" s="190"/>
      <c r="Y1869" s="190"/>
      <c r="Z1869" s="190"/>
      <c r="AA1869" s="190"/>
    </row>
    <row r="1870" spans="10:27" x14ac:dyDescent="0.25">
      <c r="J1870" s="190"/>
      <c r="K1870" s="190"/>
      <c r="L1870" s="190"/>
      <c r="M1870" s="190"/>
      <c r="O1870" s="190"/>
      <c r="P1870" s="190"/>
      <c r="Q1870" s="190"/>
      <c r="R1870" s="190"/>
      <c r="S1870" s="190"/>
      <c r="T1870" s="190"/>
      <c r="U1870" s="190"/>
      <c r="V1870" s="190"/>
      <c r="W1870" s="190"/>
      <c r="X1870" s="190"/>
      <c r="Y1870" s="190"/>
      <c r="Z1870" s="190"/>
      <c r="AA1870" s="190"/>
    </row>
    <row r="1871" spans="10:27" x14ac:dyDescent="0.25">
      <c r="J1871" s="190"/>
      <c r="K1871" s="190"/>
      <c r="L1871" s="190"/>
      <c r="M1871" s="190"/>
      <c r="O1871" s="190"/>
      <c r="P1871" s="190"/>
      <c r="Q1871" s="190"/>
      <c r="R1871" s="190"/>
      <c r="S1871" s="190"/>
      <c r="T1871" s="190"/>
      <c r="U1871" s="190"/>
      <c r="V1871" s="190"/>
      <c r="W1871" s="190"/>
      <c r="X1871" s="190"/>
      <c r="Y1871" s="190"/>
      <c r="Z1871" s="190"/>
      <c r="AA1871" s="190"/>
    </row>
    <row r="1872" spans="10:27" x14ac:dyDescent="0.25">
      <c r="J1872" s="190"/>
      <c r="K1872" s="190"/>
      <c r="L1872" s="190"/>
      <c r="M1872" s="190"/>
      <c r="O1872" s="190"/>
      <c r="P1872" s="190"/>
      <c r="Q1872" s="190"/>
      <c r="R1872" s="190"/>
      <c r="S1872" s="190"/>
      <c r="T1872" s="190"/>
      <c r="U1872" s="190"/>
      <c r="V1872" s="190"/>
      <c r="W1872" s="190"/>
      <c r="X1872" s="190"/>
      <c r="Y1872" s="190"/>
      <c r="Z1872" s="190"/>
      <c r="AA1872" s="190"/>
    </row>
    <row r="1873" spans="10:27" x14ac:dyDescent="0.25">
      <c r="J1873" s="190"/>
      <c r="K1873" s="190"/>
      <c r="L1873" s="190"/>
      <c r="M1873" s="190"/>
      <c r="O1873" s="190"/>
      <c r="P1873" s="190"/>
      <c r="Q1873" s="190"/>
      <c r="R1873" s="190"/>
      <c r="S1873" s="190"/>
      <c r="T1873" s="190"/>
      <c r="U1873" s="190"/>
      <c r="V1873" s="190"/>
      <c r="W1873" s="190"/>
      <c r="X1873" s="190"/>
      <c r="Y1873" s="190"/>
      <c r="Z1873" s="190"/>
      <c r="AA1873" s="190"/>
    </row>
    <row r="1874" spans="10:27" x14ac:dyDescent="0.25">
      <c r="J1874" s="190"/>
      <c r="K1874" s="190"/>
      <c r="L1874" s="190"/>
      <c r="M1874" s="190"/>
      <c r="O1874" s="190"/>
      <c r="P1874" s="190"/>
      <c r="Q1874" s="190"/>
      <c r="R1874" s="190"/>
      <c r="S1874" s="190"/>
      <c r="T1874" s="190"/>
      <c r="U1874" s="190"/>
      <c r="V1874" s="190"/>
      <c r="W1874" s="190"/>
      <c r="X1874" s="190"/>
      <c r="Y1874" s="190"/>
      <c r="Z1874" s="190"/>
      <c r="AA1874" s="190"/>
    </row>
    <row r="1875" spans="10:27" x14ac:dyDescent="0.25">
      <c r="J1875" s="190"/>
      <c r="K1875" s="190"/>
      <c r="L1875" s="190"/>
      <c r="M1875" s="190"/>
      <c r="O1875" s="190"/>
      <c r="P1875" s="190"/>
      <c r="Q1875" s="190"/>
      <c r="R1875" s="190"/>
      <c r="S1875" s="190"/>
      <c r="T1875" s="190"/>
      <c r="U1875" s="190"/>
      <c r="V1875" s="190"/>
      <c r="W1875" s="190"/>
      <c r="X1875" s="190"/>
      <c r="Y1875" s="190"/>
      <c r="Z1875" s="190"/>
      <c r="AA1875" s="190"/>
    </row>
    <row r="1876" spans="10:27" x14ac:dyDescent="0.25">
      <c r="J1876" s="190"/>
      <c r="K1876" s="190"/>
      <c r="L1876" s="190"/>
      <c r="M1876" s="190"/>
      <c r="O1876" s="190"/>
      <c r="P1876" s="190"/>
      <c r="Q1876" s="190"/>
      <c r="R1876" s="190"/>
      <c r="S1876" s="190"/>
      <c r="T1876" s="190"/>
      <c r="U1876" s="190"/>
      <c r="V1876" s="190"/>
      <c r="W1876" s="190"/>
      <c r="X1876" s="190"/>
      <c r="Y1876" s="190"/>
      <c r="Z1876" s="190"/>
      <c r="AA1876" s="190"/>
    </row>
    <row r="1877" spans="10:27" x14ac:dyDescent="0.25">
      <c r="J1877" s="190"/>
      <c r="K1877" s="190"/>
      <c r="L1877" s="190"/>
      <c r="M1877" s="190"/>
      <c r="O1877" s="190"/>
      <c r="P1877" s="190"/>
      <c r="Q1877" s="190"/>
      <c r="R1877" s="190"/>
      <c r="S1877" s="190"/>
      <c r="T1877" s="190"/>
      <c r="U1877" s="190"/>
      <c r="V1877" s="190"/>
      <c r="W1877" s="190"/>
      <c r="X1877" s="190"/>
      <c r="Y1877" s="190"/>
      <c r="Z1877" s="190"/>
      <c r="AA1877" s="190"/>
    </row>
    <row r="1878" spans="10:27" x14ac:dyDescent="0.25">
      <c r="J1878" s="190"/>
      <c r="K1878" s="190"/>
      <c r="L1878" s="190"/>
      <c r="M1878" s="190"/>
      <c r="O1878" s="190"/>
      <c r="P1878" s="190"/>
      <c r="Q1878" s="190"/>
      <c r="R1878" s="190"/>
      <c r="S1878" s="190"/>
      <c r="T1878" s="190"/>
      <c r="U1878" s="190"/>
      <c r="V1878" s="190"/>
      <c r="W1878" s="190"/>
      <c r="X1878" s="190"/>
      <c r="Y1878" s="190"/>
      <c r="Z1878" s="190"/>
      <c r="AA1878" s="190"/>
    </row>
    <row r="1879" spans="10:27" x14ac:dyDescent="0.25">
      <c r="J1879" s="190"/>
      <c r="K1879" s="190"/>
      <c r="L1879" s="190"/>
      <c r="M1879" s="190"/>
      <c r="O1879" s="190"/>
      <c r="P1879" s="190"/>
      <c r="Q1879" s="190"/>
      <c r="R1879" s="190"/>
      <c r="S1879" s="190"/>
      <c r="T1879" s="190"/>
      <c r="U1879" s="190"/>
      <c r="V1879" s="190"/>
      <c r="W1879" s="190"/>
      <c r="X1879" s="190"/>
      <c r="Y1879" s="190"/>
      <c r="Z1879" s="190"/>
      <c r="AA1879" s="190"/>
    </row>
    <row r="1880" spans="10:27" x14ac:dyDescent="0.25">
      <c r="J1880" s="190"/>
      <c r="K1880" s="190"/>
      <c r="L1880" s="190"/>
      <c r="M1880" s="190"/>
      <c r="O1880" s="190"/>
      <c r="P1880" s="190"/>
      <c r="Q1880" s="190"/>
      <c r="R1880" s="190"/>
      <c r="S1880" s="190"/>
      <c r="T1880" s="190"/>
      <c r="U1880" s="190"/>
      <c r="V1880" s="190"/>
      <c r="W1880" s="190"/>
      <c r="X1880" s="190"/>
      <c r="Y1880" s="190"/>
      <c r="Z1880" s="190"/>
      <c r="AA1880" s="190"/>
    </row>
    <row r="1881" spans="10:27" x14ac:dyDescent="0.25">
      <c r="J1881" s="190"/>
      <c r="K1881" s="190"/>
      <c r="L1881" s="190"/>
      <c r="M1881" s="190"/>
      <c r="O1881" s="190"/>
      <c r="P1881" s="190"/>
      <c r="Q1881" s="190"/>
      <c r="R1881" s="190"/>
      <c r="S1881" s="190"/>
      <c r="T1881" s="190"/>
      <c r="U1881" s="190"/>
      <c r="V1881" s="190"/>
      <c r="W1881" s="190"/>
      <c r="X1881" s="190"/>
      <c r="Y1881" s="190"/>
      <c r="Z1881" s="190"/>
      <c r="AA1881" s="190"/>
    </row>
    <row r="1882" spans="10:27" x14ac:dyDescent="0.25">
      <c r="J1882" s="190"/>
      <c r="K1882" s="190"/>
      <c r="L1882" s="190"/>
      <c r="M1882" s="190"/>
      <c r="O1882" s="190"/>
      <c r="P1882" s="190"/>
      <c r="Q1882" s="190"/>
      <c r="R1882" s="190"/>
      <c r="S1882" s="190"/>
      <c r="T1882" s="190"/>
      <c r="U1882" s="190"/>
      <c r="V1882" s="190"/>
      <c r="W1882" s="190"/>
      <c r="X1882" s="190"/>
      <c r="Y1882" s="190"/>
      <c r="Z1882" s="190"/>
      <c r="AA1882" s="190"/>
    </row>
    <row r="1883" spans="10:27" x14ac:dyDescent="0.25">
      <c r="J1883" s="190"/>
      <c r="K1883" s="190"/>
      <c r="L1883" s="190"/>
      <c r="M1883" s="190"/>
      <c r="O1883" s="190"/>
      <c r="P1883" s="190"/>
      <c r="Q1883" s="190"/>
      <c r="R1883" s="190"/>
      <c r="S1883" s="190"/>
      <c r="T1883" s="190"/>
      <c r="U1883" s="190"/>
      <c r="V1883" s="190"/>
      <c r="W1883" s="190"/>
      <c r="X1883" s="190"/>
      <c r="Y1883" s="190"/>
      <c r="Z1883" s="190"/>
      <c r="AA1883" s="190"/>
    </row>
    <row r="1884" spans="10:27" x14ac:dyDescent="0.25">
      <c r="J1884" s="190"/>
      <c r="K1884" s="190"/>
      <c r="L1884" s="190"/>
      <c r="M1884" s="190"/>
      <c r="O1884" s="190"/>
      <c r="P1884" s="190"/>
      <c r="Q1884" s="190"/>
      <c r="R1884" s="190"/>
      <c r="S1884" s="190"/>
      <c r="T1884" s="190"/>
      <c r="U1884" s="190"/>
      <c r="V1884" s="190"/>
      <c r="W1884" s="190"/>
      <c r="X1884" s="190"/>
      <c r="Y1884" s="190"/>
      <c r="Z1884" s="190"/>
      <c r="AA1884" s="190"/>
    </row>
    <row r="1885" spans="10:27" x14ac:dyDescent="0.25">
      <c r="J1885" s="190"/>
      <c r="K1885" s="190"/>
      <c r="L1885" s="190"/>
      <c r="M1885" s="190"/>
      <c r="O1885" s="190"/>
      <c r="P1885" s="190"/>
      <c r="Q1885" s="190"/>
      <c r="R1885" s="190"/>
      <c r="S1885" s="190"/>
      <c r="T1885" s="190"/>
      <c r="U1885" s="190"/>
      <c r="V1885" s="190"/>
      <c r="W1885" s="190"/>
      <c r="X1885" s="190"/>
      <c r="Y1885" s="190"/>
      <c r="Z1885" s="190"/>
      <c r="AA1885" s="190"/>
    </row>
    <row r="1886" spans="10:27" x14ac:dyDescent="0.25">
      <c r="J1886" s="190"/>
      <c r="K1886" s="190"/>
      <c r="L1886" s="190"/>
      <c r="M1886" s="190"/>
      <c r="O1886" s="190"/>
      <c r="P1886" s="190"/>
      <c r="Q1886" s="190"/>
      <c r="R1886" s="190"/>
      <c r="S1886" s="190"/>
      <c r="T1886" s="190"/>
      <c r="U1886" s="190"/>
      <c r="V1886" s="190"/>
      <c r="W1886" s="190"/>
      <c r="X1886" s="190"/>
      <c r="Y1886" s="190"/>
      <c r="Z1886" s="190"/>
      <c r="AA1886" s="190"/>
    </row>
    <row r="1887" spans="10:27" x14ac:dyDescent="0.25">
      <c r="J1887" s="190"/>
      <c r="K1887" s="190"/>
      <c r="L1887" s="190"/>
      <c r="M1887" s="190"/>
      <c r="O1887" s="190"/>
      <c r="P1887" s="190"/>
      <c r="Q1887" s="190"/>
      <c r="R1887" s="190"/>
      <c r="S1887" s="190"/>
      <c r="T1887" s="190"/>
      <c r="U1887" s="190"/>
      <c r="V1887" s="190"/>
      <c r="W1887" s="190"/>
      <c r="X1887" s="190"/>
      <c r="Y1887" s="190"/>
      <c r="Z1887" s="190"/>
      <c r="AA1887" s="190"/>
    </row>
    <row r="1888" spans="10:27" x14ac:dyDescent="0.25">
      <c r="J1888" s="190"/>
      <c r="K1888" s="190"/>
      <c r="L1888" s="190"/>
      <c r="M1888" s="190"/>
      <c r="O1888" s="190"/>
      <c r="P1888" s="190"/>
      <c r="Q1888" s="190"/>
      <c r="R1888" s="190"/>
      <c r="S1888" s="190"/>
      <c r="T1888" s="190"/>
      <c r="U1888" s="190"/>
      <c r="V1888" s="190"/>
      <c r="W1888" s="190"/>
      <c r="X1888" s="190"/>
      <c r="Y1888" s="190"/>
      <c r="Z1888" s="190"/>
      <c r="AA1888" s="190"/>
    </row>
    <row r="1889" spans="10:27" x14ac:dyDescent="0.25">
      <c r="J1889" s="190"/>
      <c r="K1889" s="190"/>
      <c r="L1889" s="190"/>
      <c r="M1889" s="190"/>
      <c r="O1889" s="190"/>
      <c r="P1889" s="190"/>
      <c r="Q1889" s="190"/>
      <c r="R1889" s="190"/>
      <c r="S1889" s="190"/>
      <c r="T1889" s="190"/>
      <c r="U1889" s="190"/>
      <c r="V1889" s="190"/>
      <c r="W1889" s="190"/>
      <c r="X1889" s="190"/>
      <c r="Y1889" s="190"/>
      <c r="Z1889" s="190"/>
      <c r="AA1889" s="190"/>
    </row>
    <row r="1890" spans="10:27" x14ac:dyDescent="0.25">
      <c r="J1890" s="190"/>
      <c r="K1890" s="190"/>
      <c r="L1890" s="190"/>
      <c r="M1890" s="190"/>
      <c r="O1890" s="190"/>
      <c r="P1890" s="190"/>
      <c r="Q1890" s="190"/>
      <c r="R1890" s="190"/>
      <c r="S1890" s="190"/>
      <c r="T1890" s="190"/>
      <c r="U1890" s="190"/>
      <c r="V1890" s="190"/>
      <c r="W1890" s="190"/>
      <c r="X1890" s="190"/>
      <c r="Y1890" s="190"/>
      <c r="Z1890" s="190"/>
      <c r="AA1890" s="190"/>
    </row>
    <row r="1891" spans="10:27" x14ac:dyDescent="0.25">
      <c r="J1891" s="190"/>
      <c r="K1891" s="190"/>
      <c r="L1891" s="190"/>
      <c r="M1891" s="190"/>
      <c r="O1891" s="190"/>
      <c r="P1891" s="190"/>
      <c r="Q1891" s="190"/>
      <c r="R1891" s="190"/>
      <c r="S1891" s="190"/>
      <c r="T1891" s="190"/>
      <c r="U1891" s="190"/>
      <c r="V1891" s="190"/>
      <c r="W1891" s="190"/>
      <c r="X1891" s="190"/>
      <c r="Y1891" s="190"/>
      <c r="Z1891" s="190"/>
      <c r="AA1891" s="190"/>
    </row>
    <row r="1892" spans="10:27" x14ac:dyDescent="0.25">
      <c r="J1892" s="190"/>
      <c r="K1892" s="190"/>
      <c r="L1892" s="190"/>
      <c r="M1892" s="190"/>
      <c r="O1892" s="190"/>
      <c r="P1892" s="190"/>
      <c r="Q1892" s="190"/>
      <c r="R1892" s="190"/>
      <c r="S1892" s="190"/>
      <c r="T1892" s="190"/>
      <c r="U1892" s="190"/>
      <c r="V1892" s="190"/>
      <c r="W1892" s="190"/>
      <c r="X1892" s="190"/>
      <c r="Y1892" s="190"/>
      <c r="Z1892" s="190"/>
      <c r="AA1892" s="190"/>
    </row>
    <row r="1893" spans="10:27" x14ac:dyDescent="0.25">
      <c r="J1893" s="190"/>
      <c r="K1893" s="190"/>
      <c r="L1893" s="190"/>
      <c r="M1893" s="190"/>
      <c r="O1893" s="190"/>
      <c r="P1893" s="190"/>
      <c r="Q1893" s="190"/>
      <c r="R1893" s="190"/>
      <c r="S1893" s="190"/>
      <c r="T1893" s="190"/>
      <c r="U1893" s="190"/>
      <c r="V1893" s="190"/>
      <c r="W1893" s="190"/>
      <c r="X1893" s="190"/>
      <c r="Y1893" s="190"/>
      <c r="Z1893" s="190"/>
      <c r="AA1893" s="190"/>
    </row>
    <row r="1894" spans="10:27" x14ac:dyDescent="0.25">
      <c r="J1894" s="190"/>
      <c r="K1894" s="190"/>
      <c r="L1894" s="190"/>
      <c r="M1894" s="190"/>
      <c r="O1894" s="190"/>
      <c r="P1894" s="190"/>
      <c r="Q1894" s="190"/>
      <c r="R1894" s="190"/>
      <c r="S1894" s="190"/>
      <c r="T1894" s="190"/>
      <c r="U1894" s="190"/>
      <c r="V1894" s="190"/>
      <c r="W1894" s="190"/>
      <c r="X1894" s="190"/>
      <c r="Y1894" s="190"/>
      <c r="Z1894" s="190"/>
      <c r="AA1894" s="190"/>
    </row>
    <row r="1895" spans="10:27" x14ac:dyDescent="0.25">
      <c r="J1895" s="190"/>
      <c r="K1895" s="190"/>
      <c r="L1895" s="190"/>
      <c r="M1895" s="190"/>
      <c r="O1895" s="190"/>
      <c r="P1895" s="190"/>
      <c r="Q1895" s="190"/>
      <c r="R1895" s="190"/>
      <c r="S1895" s="190"/>
      <c r="T1895" s="190"/>
      <c r="U1895" s="190"/>
      <c r="V1895" s="190"/>
      <c r="W1895" s="190"/>
      <c r="X1895" s="190"/>
      <c r="Y1895" s="190"/>
      <c r="Z1895" s="190"/>
      <c r="AA1895" s="190"/>
    </row>
    <row r="1896" spans="10:27" x14ac:dyDescent="0.25">
      <c r="J1896" s="190"/>
      <c r="K1896" s="190"/>
      <c r="L1896" s="190"/>
      <c r="M1896" s="190"/>
      <c r="O1896" s="190"/>
      <c r="P1896" s="190"/>
      <c r="Q1896" s="190"/>
      <c r="R1896" s="190"/>
      <c r="S1896" s="190"/>
      <c r="T1896" s="190"/>
      <c r="U1896" s="190"/>
      <c r="V1896" s="190"/>
      <c r="W1896" s="190"/>
      <c r="X1896" s="190"/>
      <c r="Y1896" s="190"/>
      <c r="Z1896" s="190"/>
      <c r="AA1896" s="190"/>
    </row>
    <row r="1897" spans="10:27" x14ac:dyDescent="0.25">
      <c r="J1897" s="190"/>
      <c r="K1897" s="190"/>
      <c r="L1897" s="190"/>
      <c r="M1897" s="190"/>
      <c r="O1897" s="190"/>
      <c r="P1897" s="190"/>
      <c r="Q1897" s="190"/>
      <c r="R1897" s="190"/>
      <c r="S1897" s="190"/>
      <c r="T1897" s="190"/>
      <c r="U1897" s="190"/>
      <c r="V1897" s="190"/>
      <c r="W1897" s="190"/>
      <c r="X1897" s="190"/>
      <c r="Y1897" s="190"/>
      <c r="Z1897" s="190"/>
      <c r="AA1897" s="190"/>
    </row>
    <row r="1898" spans="10:27" x14ac:dyDescent="0.25">
      <c r="J1898" s="190"/>
      <c r="K1898" s="190"/>
      <c r="L1898" s="190"/>
      <c r="M1898" s="190"/>
      <c r="O1898" s="190"/>
      <c r="P1898" s="190"/>
      <c r="Q1898" s="190"/>
      <c r="R1898" s="190"/>
      <c r="S1898" s="190"/>
      <c r="T1898" s="190"/>
      <c r="U1898" s="190"/>
      <c r="V1898" s="190"/>
      <c r="W1898" s="190"/>
      <c r="X1898" s="190"/>
      <c r="Y1898" s="190"/>
      <c r="Z1898" s="190"/>
      <c r="AA1898" s="190"/>
    </row>
    <row r="1899" spans="10:27" x14ac:dyDescent="0.25">
      <c r="J1899" s="190"/>
      <c r="K1899" s="190"/>
      <c r="L1899" s="190"/>
      <c r="M1899" s="190"/>
      <c r="O1899" s="190"/>
      <c r="P1899" s="190"/>
      <c r="Q1899" s="190"/>
      <c r="R1899" s="190"/>
      <c r="S1899" s="190"/>
      <c r="T1899" s="190"/>
      <c r="U1899" s="190"/>
      <c r="V1899" s="190"/>
      <c r="W1899" s="190"/>
      <c r="X1899" s="190"/>
      <c r="Y1899" s="190"/>
      <c r="Z1899" s="190"/>
      <c r="AA1899" s="190"/>
    </row>
    <row r="1900" spans="10:27" x14ac:dyDescent="0.25">
      <c r="J1900" s="190"/>
      <c r="K1900" s="190"/>
      <c r="L1900" s="190"/>
      <c r="M1900" s="190"/>
      <c r="O1900" s="190"/>
      <c r="P1900" s="190"/>
      <c r="Q1900" s="190"/>
      <c r="R1900" s="190"/>
      <c r="S1900" s="190"/>
      <c r="T1900" s="190"/>
      <c r="U1900" s="190"/>
      <c r="V1900" s="190"/>
      <c r="W1900" s="190"/>
      <c r="X1900" s="190"/>
      <c r="Y1900" s="190"/>
      <c r="Z1900" s="190"/>
      <c r="AA1900" s="190"/>
    </row>
    <row r="1901" spans="10:27" x14ac:dyDescent="0.25">
      <c r="J1901" s="190"/>
      <c r="K1901" s="190"/>
      <c r="L1901" s="190"/>
      <c r="M1901" s="190"/>
      <c r="O1901" s="190"/>
      <c r="P1901" s="190"/>
      <c r="Q1901" s="190"/>
      <c r="R1901" s="190"/>
      <c r="S1901" s="190"/>
      <c r="T1901" s="190"/>
      <c r="U1901" s="190"/>
      <c r="V1901" s="190"/>
      <c r="W1901" s="190"/>
      <c r="X1901" s="190"/>
      <c r="Y1901" s="190"/>
      <c r="Z1901" s="190"/>
      <c r="AA1901" s="190"/>
    </row>
    <row r="1902" spans="10:27" x14ac:dyDescent="0.25">
      <c r="J1902" s="190"/>
      <c r="K1902" s="190"/>
      <c r="L1902" s="190"/>
      <c r="M1902" s="190"/>
      <c r="O1902" s="190"/>
      <c r="P1902" s="190"/>
      <c r="Q1902" s="190"/>
      <c r="R1902" s="190"/>
      <c r="S1902" s="190"/>
      <c r="T1902" s="190"/>
      <c r="U1902" s="190"/>
      <c r="V1902" s="190"/>
      <c r="W1902" s="190"/>
      <c r="X1902" s="190"/>
      <c r="Y1902" s="190"/>
      <c r="Z1902" s="190"/>
      <c r="AA1902" s="190"/>
    </row>
    <row r="1903" spans="10:27" x14ac:dyDescent="0.25">
      <c r="J1903" s="190"/>
      <c r="K1903" s="190"/>
      <c r="L1903" s="190"/>
      <c r="M1903" s="190"/>
      <c r="O1903" s="190"/>
      <c r="P1903" s="190"/>
      <c r="Q1903" s="190"/>
      <c r="R1903" s="190"/>
      <c r="S1903" s="190"/>
      <c r="T1903" s="190"/>
      <c r="U1903" s="190"/>
      <c r="V1903" s="190"/>
      <c r="W1903" s="190"/>
      <c r="X1903" s="190"/>
      <c r="Y1903" s="190"/>
      <c r="Z1903" s="190"/>
      <c r="AA1903" s="190"/>
    </row>
    <row r="1904" spans="10:27" x14ac:dyDescent="0.25">
      <c r="J1904" s="190"/>
      <c r="K1904" s="190"/>
      <c r="L1904" s="190"/>
      <c r="M1904" s="190"/>
      <c r="O1904" s="190"/>
      <c r="P1904" s="190"/>
      <c r="Q1904" s="190"/>
      <c r="R1904" s="190"/>
      <c r="S1904" s="190"/>
      <c r="T1904" s="190"/>
      <c r="U1904" s="190"/>
      <c r="V1904" s="190"/>
      <c r="W1904" s="190"/>
      <c r="X1904" s="190"/>
      <c r="Y1904" s="190"/>
      <c r="Z1904" s="190"/>
      <c r="AA1904" s="190"/>
    </row>
    <row r="1905" spans="10:27" x14ac:dyDescent="0.25">
      <c r="J1905" s="190"/>
      <c r="K1905" s="190"/>
      <c r="L1905" s="190"/>
      <c r="M1905" s="190"/>
      <c r="O1905" s="190"/>
      <c r="P1905" s="190"/>
      <c r="Q1905" s="190"/>
      <c r="R1905" s="190"/>
      <c r="S1905" s="190"/>
      <c r="T1905" s="190"/>
      <c r="U1905" s="190"/>
      <c r="V1905" s="190"/>
      <c r="W1905" s="190"/>
      <c r="X1905" s="190"/>
      <c r="Y1905" s="190"/>
      <c r="Z1905" s="190"/>
      <c r="AA1905" s="190"/>
    </row>
    <row r="1906" spans="10:27" x14ac:dyDescent="0.25">
      <c r="J1906" s="190"/>
      <c r="K1906" s="190"/>
      <c r="L1906" s="190"/>
      <c r="M1906" s="190"/>
      <c r="O1906" s="190"/>
      <c r="P1906" s="190"/>
      <c r="Q1906" s="190"/>
      <c r="R1906" s="190"/>
      <c r="S1906" s="190"/>
      <c r="T1906" s="190"/>
      <c r="U1906" s="190"/>
      <c r="V1906" s="190"/>
      <c r="W1906" s="190"/>
      <c r="X1906" s="190"/>
      <c r="Y1906" s="190"/>
      <c r="Z1906" s="190"/>
      <c r="AA1906" s="190"/>
    </row>
    <row r="1907" spans="10:27" x14ac:dyDescent="0.25">
      <c r="J1907" s="190"/>
      <c r="K1907" s="190"/>
      <c r="L1907" s="190"/>
      <c r="M1907" s="190"/>
      <c r="O1907" s="190"/>
      <c r="P1907" s="190"/>
      <c r="Q1907" s="190"/>
      <c r="R1907" s="190"/>
      <c r="S1907" s="190"/>
      <c r="T1907" s="190"/>
      <c r="U1907" s="190"/>
      <c r="V1907" s="190"/>
      <c r="W1907" s="190"/>
      <c r="X1907" s="190"/>
      <c r="Y1907" s="190"/>
      <c r="Z1907" s="190"/>
      <c r="AA1907" s="190"/>
    </row>
    <row r="1908" spans="10:27" x14ac:dyDescent="0.25">
      <c r="J1908" s="190"/>
      <c r="K1908" s="190"/>
      <c r="L1908" s="190"/>
      <c r="M1908" s="190"/>
      <c r="O1908" s="190"/>
      <c r="P1908" s="190"/>
      <c r="Q1908" s="190"/>
      <c r="R1908" s="190"/>
      <c r="S1908" s="190"/>
      <c r="T1908" s="190"/>
      <c r="U1908" s="190"/>
      <c r="V1908" s="190"/>
      <c r="W1908" s="190"/>
      <c r="X1908" s="190"/>
      <c r="Y1908" s="190"/>
      <c r="Z1908" s="190"/>
      <c r="AA1908" s="190"/>
    </row>
    <row r="1909" spans="10:27" x14ac:dyDescent="0.25">
      <c r="J1909" s="190"/>
      <c r="K1909" s="190"/>
      <c r="L1909" s="190"/>
      <c r="M1909" s="190"/>
      <c r="O1909" s="190"/>
      <c r="P1909" s="190"/>
      <c r="Q1909" s="190"/>
      <c r="R1909" s="190"/>
      <c r="S1909" s="190"/>
      <c r="T1909" s="190"/>
      <c r="U1909" s="190"/>
      <c r="V1909" s="190"/>
      <c r="W1909" s="190"/>
      <c r="X1909" s="190"/>
      <c r="Y1909" s="190"/>
      <c r="Z1909" s="190"/>
      <c r="AA1909" s="190"/>
    </row>
    <row r="1910" spans="10:27" x14ac:dyDescent="0.25">
      <c r="J1910" s="190"/>
      <c r="K1910" s="190"/>
      <c r="L1910" s="190"/>
      <c r="M1910" s="190"/>
      <c r="O1910" s="190"/>
      <c r="P1910" s="190"/>
      <c r="Q1910" s="190"/>
      <c r="R1910" s="190"/>
      <c r="S1910" s="190"/>
      <c r="T1910" s="190"/>
      <c r="U1910" s="190"/>
      <c r="V1910" s="190"/>
      <c r="W1910" s="190"/>
      <c r="X1910" s="190"/>
      <c r="Y1910" s="190"/>
      <c r="Z1910" s="190"/>
      <c r="AA1910" s="190"/>
    </row>
    <row r="1911" spans="10:27" x14ac:dyDescent="0.25">
      <c r="J1911" s="190"/>
      <c r="K1911" s="190"/>
      <c r="L1911" s="190"/>
      <c r="M1911" s="190"/>
      <c r="O1911" s="190"/>
      <c r="P1911" s="190"/>
      <c r="Q1911" s="190"/>
      <c r="R1911" s="190"/>
      <c r="S1911" s="190"/>
      <c r="T1911" s="190"/>
      <c r="U1911" s="190"/>
      <c r="V1911" s="190"/>
      <c r="W1911" s="190"/>
      <c r="X1911" s="190"/>
      <c r="Y1911" s="190"/>
      <c r="Z1911" s="190"/>
      <c r="AA1911" s="190"/>
    </row>
    <row r="1912" spans="10:27" x14ac:dyDescent="0.25">
      <c r="J1912" s="190"/>
      <c r="K1912" s="190"/>
      <c r="L1912" s="190"/>
      <c r="M1912" s="190"/>
      <c r="O1912" s="190"/>
      <c r="P1912" s="190"/>
      <c r="Q1912" s="190"/>
      <c r="R1912" s="190"/>
      <c r="S1912" s="190"/>
      <c r="T1912" s="190"/>
      <c r="U1912" s="190"/>
      <c r="V1912" s="190"/>
      <c r="W1912" s="190"/>
      <c r="X1912" s="190"/>
      <c r="Y1912" s="190"/>
      <c r="Z1912" s="190"/>
      <c r="AA1912" s="190"/>
    </row>
    <row r="1913" spans="10:27" x14ac:dyDescent="0.25">
      <c r="J1913" s="190"/>
      <c r="K1913" s="190"/>
      <c r="L1913" s="190"/>
      <c r="M1913" s="190"/>
      <c r="O1913" s="190"/>
      <c r="P1913" s="190"/>
      <c r="Q1913" s="190"/>
      <c r="R1913" s="190"/>
      <c r="S1913" s="190"/>
      <c r="T1913" s="190"/>
      <c r="U1913" s="190"/>
      <c r="V1913" s="190"/>
      <c r="W1913" s="190"/>
      <c r="X1913" s="190"/>
      <c r="Y1913" s="190"/>
      <c r="Z1913" s="190"/>
      <c r="AA1913" s="190"/>
    </row>
    <row r="1914" spans="10:27" x14ac:dyDescent="0.25">
      <c r="J1914" s="190"/>
      <c r="K1914" s="190"/>
      <c r="L1914" s="190"/>
      <c r="M1914" s="190"/>
      <c r="O1914" s="190"/>
      <c r="P1914" s="190"/>
      <c r="Q1914" s="190"/>
      <c r="R1914" s="190"/>
      <c r="S1914" s="190"/>
      <c r="T1914" s="190"/>
      <c r="U1914" s="190"/>
      <c r="V1914" s="190"/>
      <c r="W1914" s="190"/>
      <c r="X1914" s="190"/>
      <c r="Y1914" s="190"/>
      <c r="Z1914" s="190"/>
      <c r="AA1914" s="190"/>
    </row>
    <row r="1915" spans="10:27" x14ac:dyDescent="0.25">
      <c r="J1915" s="190"/>
      <c r="K1915" s="190"/>
      <c r="L1915" s="190"/>
      <c r="M1915" s="190"/>
      <c r="O1915" s="190"/>
      <c r="P1915" s="190"/>
      <c r="Q1915" s="190"/>
      <c r="R1915" s="190"/>
      <c r="S1915" s="190"/>
      <c r="T1915" s="190"/>
      <c r="U1915" s="190"/>
      <c r="V1915" s="190"/>
      <c r="W1915" s="190"/>
      <c r="X1915" s="190"/>
      <c r="Y1915" s="190"/>
      <c r="Z1915" s="190"/>
      <c r="AA1915" s="190"/>
    </row>
    <row r="1916" spans="10:27" x14ac:dyDescent="0.25">
      <c r="J1916" s="190"/>
      <c r="K1916" s="190"/>
      <c r="L1916" s="190"/>
      <c r="M1916" s="190"/>
      <c r="O1916" s="190"/>
      <c r="P1916" s="190"/>
      <c r="Q1916" s="190"/>
      <c r="R1916" s="190"/>
      <c r="S1916" s="190"/>
      <c r="T1916" s="190"/>
      <c r="U1916" s="190"/>
      <c r="V1916" s="190"/>
      <c r="W1916" s="190"/>
      <c r="X1916" s="190"/>
      <c r="Y1916" s="190"/>
      <c r="Z1916" s="190"/>
      <c r="AA1916" s="190"/>
    </row>
    <row r="1917" spans="10:27" x14ac:dyDescent="0.25">
      <c r="J1917" s="190"/>
      <c r="K1917" s="190"/>
      <c r="L1917" s="190"/>
      <c r="M1917" s="190"/>
      <c r="O1917" s="190"/>
      <c r="P1917" s="190"/>
      <c r="Q1917" s="190"/>
      <c r="R1917" s="190"/>
      <c r="S1917" s="190"/>
      <c r="T1917" s="190"/>
      <c r="U1917" s="190"/>
      <c r="V1917" s="190"/>
      <c r="W1917" s="190"/>
      <c r="X1917" s="190"/>
      <c r="Y1917" s="190"/>
      <c r="Z1917" s="190"/>
      <c r="AA1917" s="190"/>
    </row>
    <row r="1918" spans="10:27" x14ac:dyDescent="0.25">
      <c r="J1918" s="190"/>
      <c r="K1918" s="190"/>
      <c r="L1918" s="190"/>
      <c r="M1918" s="190"/>
      <c r="O1918" s="190"/>
      <c r="P1918" s="190"/>
      <c r="Q1918" s="190"/>
      <c r="R1918" s="190"/>
      <c r="S1918" s="190"/>
      <c r="T1918" s="190"/>
      <c r="U1918" s="190"/>
      <c r="V1918" s="190"/>
      <c r="W1918" s="190"/>
      <c r="X1918" s="190"/>
      <c r="Y1918" s="190"/>
      <c r="Z1918" s="190"/>
      <c r="AA1918" s="190"/>
    </row>
    <row r="1919" spans="10:27" x14ac:dyDescent="0.25">
      <c r="J1919" s="190"/>
      <c r="K1919" s="190"/>
      <c r="L1919" s="190"/>
      <c r="M1919" s="190"/>
      <c r="O1919" s="190"/>
      <c r="P1919" s="190"/>
      <c r="Q1919" s="190"/>
      <c r="R1919" s="190"/>
      <c r="S1919" s="190"/>
      <c r="T1919" s="190"/>
      <c r="U1919" s="190"/>
      <c r="V1919" s="190"/>
      <c r="W1919" s="190"/>
      <c r="X1919" s="190"/>
      <c r="Y1919" s="190"/>
      <c r="Z1919" s="190"/>
      <c r="AA1919" s="190"/>
    </row>
    <row r="1920" spans="10:27" x14ac:dyDescent="0.25">
      <c r="J1920" s="190"/>
      <c r="K1920" s="190"/>
      <c r="L1920" s="190"/>
      <c r="M1920" s="190"/>
      <c r="O1920" s="190"/>
      <c r="P1920" s="190"/>
      <c r="Q1920" s="190"/>
      <c r="R1920" s="190"/>
      <c r="S1920" s="190"/>
      <c r="T1920" s="190"/>
      <c r="U1920" s="190"/>
      <c r="V1920" s="190"/>
      <c r="W1920" s="190"/>
      <c r="X1920" s="190"/>
      <c r="Y1920" s="190"/>
      <c r="Z1920" s="190"/>
      <c r="AA1920" s="190"/>
    </row>
    <row r="1921" spans="10:27" x14ac:dyDescent="0.25">
      <c r="J1921" s="190"/>
      <c r="K1921" s="190"/>
      <c r="L1921" s="190"/>
      <c r="M1921" s="190"/>
      <c r="O1921" s="190"/>
      <c r="P1921" s="190"/>
      <c r="Q1921" s="190"/>
      <c r="R1921" s="190"/>
      <c r="S1921" s="190"/>
      <c r="T1921" s="190"/>
      <c r="U1921" s="190"/>
      <c r="V1921" s="190"/>
      <c r="W1921" s="190"/>
      <c r="X1921" s="190"/>
      <c r="Y1921" s="190"/>
      <c r="Z1921" s="190"/>
      <c r="AA1921" s="190"/>
    </row>
    <row r="1922" spans="10:27" x14ac:dyDescent="0.25">
      <c r="J1922" s="190"/>
      <c r="K1922" s="190"/>
      <c r="L1922" s="190"/>
      <c r="M1922" s="190"/>
      <c r="O1922" s="190"/>
      <c r="P1922" s="190"/>
      <c r="Q1922" s="190"/>
      <c r="R1922" s="190"/>
      <c r="S1922" s="190"/>
      <c r="T1922" s="190"/>
      <c r="U1922" s="190"/>
      <c r="V1922" s="190"/>
      <c r="W1922" s="190"/>
      <c r="X1922" s="190"/>
      <c r="Y1922" s="190"/>
      <c r="Z1922" s="190"/>
      <c r="AA1922" s="190"/>
    </row>
    <row r="1923" spans="10:27" x14ac:dyDescent="0.25">
      <c r="J1923" s="190"/>
      <c r="K1923" s="190"/>
      <c r="L1923" s="190"/>
      <c r="M1923" s="190"/>
      <c r="O1923" s="190"/>
      <c r="P1923" s="190"/>
      <c r="Q1923" s="190"/>
      <c r="R1923" s="190"/>
      <c r="S1923" s="190"/>
      <c r="T1923" s="190"/>
      <c r="U1923" s="190"/>
      <c r="V1923" s="190"/>
      <c r="W1923" s="190"/>
      <c r="X1923" s="190"/>
      <c r="Y1923" s="190"/>
      <c r="Z1923" s="190"/>
      <c r="AA1923" s="190"/>
    </row>
    <row r="1924" spans="10:27" x14ac:dyDescent="0.25">
      <c r="J1924" s="190"/>
      <c r="K1924" s="190"/>
      <c r="L1924" s="190"/>
      <c r="M1924" s="190"/>
      <c r="O1924" s="190"/>
      <c r="P1924" s="190"/>
      <c r="Q1924" s="190"/>
      <c r="R1924" s="190"/>
      <c r="S1924" s="190"/>
      <c r="T1924" s="190"/>
      <c r="U1924" s="190"/>
      <c r="V1924" s="190"/>
      <c r="W1924" s="190"/>
      <c r="X1924" s="190"/>
      <c r="Y1924" s="190"/>
      <c r="Z1924" s="190"/>
      <c r="AA1924" s="190"/>
    </row>
    <row r="1925" spans="10:27" x14ac:dyDescent="0.25">
      <c r="J1925" s="190"/>
      <c r="K1925" s="190"/>
      <c r="L1925" s="190"/>
      <c r="M1925" s="190"/>
      <c r="O1925" s="190"/>
      <c r="P1925" s="190"/>
      <c r="Q1925" s="190"/>
      <c r="R1925" s="190"/>
      <c r="S1925" s="190"/>
      <c r="T1925" s="190"/>
      <c r="U1925" s="190"/>
      <c r="V1925" s="190"/>
      <c r="W1925" s="190"/>
      <c r="X1925" s="190"/>
      <c r="Y1925" s="190"/>
      <c r="Z1925" s="190"/>
      <c r="AA1925" s="190"/>
    </row>
    <row r="1926" spans="10:27" x14ac:dyDescent="0.25">
      <c r="J1926" s="190"/>
      <c r="K1926" s="190"/>
      <c r="L1926" s="190"/>
      <c r="M1926" s="190"/>
      <c r="O1926" s="190"/>
      <c r="P1926" s="190"/>
      <c r="Q1926" s="190"/>
      <c r="R1926" s="190"/>
      <c r="S1926" s="190"/>
      <c r="T1926" s="190"/>
      <c r="U1926" s="190"/>
      <c r="V1926" s="190"/>
      <c r="W1926" s="190"/>
      <c r="X1926" s="190"/>
      <c r="Y1926" s="190"/>
      <c r="Z1926" s="190"/>
      <c r="AA1926" s="190"/>
    </row>
    <row r="1927" spans="10:27" x14ac:dyDescent="0.25">
      <c r="J1927" s="190"/>
      <c r="K1927" s="190"/>
      <c r="L1927" s="190"/>
      <c r="M1927" s="190"/>
      <c r="O1927" s="190"/>
      <c r="P1927" s="190"/>
      <c r="Q1927" s="190"/>
      <c r="R1927" s="190"/>
      <c r="S1927" s="190"/>
      <c r="T1927" s="190"/>
      <c r="U1927" s="190"/>
      <c r="V1927" s="190"/>
      <c r="W1927" s="190"/>
      <c r="X1927" s="190"/>
      <c r="Y1927" s="190"/>
      <c r="Z1927" s="190"/>
      <c r="AA1927" s="190"/>
    </row>
    <row r="1928" spans="10:27" x14ac:dyDescent="0.25">
      <c r="J1928" s="190"/>
      <c r="K1928" s="190"/>
      <c r="L1928" s="190"/>
      <c r="M1928" s="190"/>
      <c r="O1928" s="190"/>
      <c r="P1928" s="190"/>
      <c r="Q1928" s="190"/>
      <c r="R1928" s="190"/>
      <c r="S1928" s="190"/>
      <c r="T1928" s="190"/>
      <c r="U1928" s="190"/>
      <c r="V1928" s="190"/>
      <c r="W1928" s="190"/>
      <c r="X1928" s="190"/>
      <c r="Y1928" s="190"/>
      <c r="Z1928" s="190"/>
      <c r="AA1928" s="190"/>
    </row>
    <row r="1929" spans="10:27" x14ac:dyDescent="0.25">
      <c r="J1929" s="190"/>
      <c r="K1929" s="190"/>
      <c r="L1929" s="190"/>
      <c r="M1929" s="190"/>
      <c r="O1929" s="190"/>
      <c r="P1929" s="190"/>
      <c r="Q1929" s="190"/>
      <c r="R1929" s="190"/>
      <c r="S1929" s="190"/>
      <c r="T1929" s="190"/>
      <c r="U1929" s="190"/>
      <c r="V1929" s="190"/>
      <c r="W1929" s="190"/>
      <c r="X1929" s="190"/>
      <c r="Y1929" s="190"/>
      <c r="Z1929" s="190"/>
      <c r="AA1929" s="190"/>
    </row>
    <row r="1930" spans="10:27" x14ac:dyDescent="0.25">
      <c r="J1930" s="190"/>
      <c r="K1930" s="190"/>
      <c r="L1930" s="190"/>
      <c r="M1930" s="190"/>
      <c r="O1930" s="190"/>
      <c r="P1930" s="190"/>
      <c r="Q1930" s="190"/>
      <c r="R1930" s="190"/>
      <c r="S1930" s="190"/>
      <c r="T1930" s="190"/>
      <c r="U1930" s="190"/>
      <c r="V1930" s="190"/>
      <c r="W1930" s="190"/>
      <c r="X1930" s="190"/>
      <c r="Y1930" s="190"/>
      <c r="Z1930" s="190"/>
      <c r="AA1930" s="190"/>
    </row>
    <row r="1931" spans="10:27" x14ac:dyDescent="0.25">
      <c r="J1931" s="190"/>
      <c r="K1931" s="190"/>
      <c r="L1931" s="190"/>
      <c r="M1931" s="190"/>
      <c r="O1931" s="190"/>
      <c r="P1931" s="190"/>
      <c r="Q1931" s="190"/>
      <c r="R1931" s="190"/>
      <c r="S1931" s="190"/>
      <c r="T1931" s="190"/>
      <c r="U1931" s="190"/>
      <c r="V1931" s="190"/>
      <c r="W1931" s="190"/>
      <c r="X1931" s="190"/>
      <c r="Y1931" s="190"/>
      <c r="Z1931" s="190"/>
      <c r="AA1931" s="190"/>
    </row>
    <row r="1932" spans="10:27" x14ac:dyDescent="0.25">
      <c r="J1932" s="190"/>
      <c r="K1932" s="190"/>
      <c r="L1932" s="190"/>
      <c r="M1932" s="190"/>
      <c r="O1932" s="190"/>
      <c r="P1932" s="190"/>
      <c r="Q1932" s="190"/>
      <c r="R1932" s="190"/>
      <c r="S1932" s="190"/>
      <c r="T1932" s="190"/>
      <c r="U1932" s="190"/>
      <c r="V1932" s="190"/>
      <c r="W1932" s="190"/>
      <c r="X1932" s="190"/>
      <c r="Y1932" s="190"/>
      <c r="Z1932" s="190"/>
      <c r="AA1932" s="190"/>
    </row>
    <row r="1933" spans="10:27" x14ac:dyDescent="0.25">
      <c r="J1933" s="190"/>
      <c r="K1933" s="190"/>
      <c r="L1933" s="190"/>
      <c r="M1933" s="190"/>
      <c r="O1933" s="190"/>
      <c r="P1933" s="190"/>
      <c r="Q1933" s="190"/>
      <c r="R1933" s="190"/>
      <c r="S1933" s="190"/>
      <c r="T1933" s="190"/>
      <c r="U1933" s="190"/>
      <c r="V1933" s="190"/>
      <c r="W1933" s="190"/>
      <c r="X1933" s="190"/>
      <c r="Y1933" s="190"/>
      <c r="Z1933" s="190"/>
      <c r="AA1933" s="190"/>
    </row>
    <row r="1934" spans="10:27" x14ac:dyDescent="0.25">
      <c r="J1934" s="190"/>
      <c r="K1934" s="190"/>
      <c r="L1934" s="190"/>
      <c r="M1934" s="190"/>
      <c r="O1934" s="190"/>
      <c r="P1934" s="190"/>
      <c r="Q1934" s="190"/>
      <c r="R1934" s="190"/>
      <c r="S1934" s="190"/>
      <c r="T1934" s="190"/>
      <c r="U1934" s="190"/>
      <c r="V1934" s="190"/>
      <c r="W1934" s="190"/>
      <c r="X1934" s="190"/>
      <c r="Y1934" s="190"/>
      <c r="Z1934" s="190"/>
      <c r="AA1934" s="190"/>
    </row>
    <row r="1935" spans="10:27" x14ac:dyDescent="0.25">
      <c r="J1935" s="190"/>
      <c r="K1935" s="190"/>
      <c r="L1935" s="190"/>
      <c r="M1935" s="190"/>
      <c r="O1935" s="190"/>
      <c r="P1935" s="190"/>
      <c r="Q1935" s="190"/>
      <c r="R1935" s="190"/>
      <c r="S1935" s="190"/>
      <c r="T1935" s="190"/>
      <c r="U1935" s="190"/>
      <c r="V1935" s="190"/>
      <c r="W1935" s="190"/>
      <c r="X1935" s="190"/>
      <c r="Y1935" s="190"/>
      <c r="Z1935" s="190"/>
      <c r="AA1935" s="190"/>
    </row>
    <row r="1936" spans="10:27" x14ac:dyDescent="0.25">
      <c r="J1936" s="190"/>
      <c r="K1936" s="190"/>
      <c r="L1936" s="190"/>
      <c r="M1936" s="190"/>
      <c r="O1936" s="190"/>
      <c r="P1936" s="190"/>
      <c r="Q1936" s="190"/>
      <c r="R1936" s="190"/>
      <c r="S1936" s="190"/>
      <c r="T1936" s="190"/>
      <c r="U1936" s="190"/>
      <c r="V1936" s="190"/>
      <c r="W1936" s="190"/>
      <c r="X1936" s="190"/>
      <c r="Y1936" s="190"/>
      <c r="Z1936" s="190"/>
      <c r="AA1936" s="190"/>
    </row>
    <row r="1937" spans="10:27" x14ac:dyDescent="0.25">
      <c r="J1937" s="190"/>
      <c r="K1937" s="190"/>
      <c r="L1937" s="190"/>
      <c r="M1937" s="190"/>
      <c r="O1937" s="190"/>
      <c r="P1937" s="190"/>
      <c r="Q1937" s="190"/>
      <c r="R1937" s="190"/>
      <c r="S1937" s="190"/>
      <c r="T1937" s="190"/>
      <c r="U1937" s="190"/>
      <c r="V1937" s="190"/>
      <c r="W1937" s="190"/>
      <c r="X1937" s="190"/>
      <c r="Y1937" s="190"/>
      <c r="Z1937" s="190"/>
      <c r="AA1937" s="190"/>
    </row>
    <row r="1938" spans="10:27" x14ac:dyDescent="0.25">
      <c r="J1938" s="190"/>
      <c r="K1938" s="190"/>
      <c r="L1938" s="190"/>
      <c r="M1938" s="190"/>
      <c r="O1938" s="190"/>
      <c r="P1938" s="190"/>
      <c r="Q1938" s="190"/>
      <c r="R1938" s="190"/>
      <c r="S1938" s="190"/>
      <c r="T1938" s="190"/>
      <c r="U1938" s="190"/>
      <c r="V1938" s="190"/>
      <c r="W1938" s="190"/>
      <c r="X1938" s="190"/>
      <c r="Y1938" s="190"/>
      <c r="Z1938" s="190"/>
      <c r="AA1938" s="190"/>
    </row>
    <row r="1939" spans="10:27" x14ac:dyDescent="0.25">
      <c r="J1939" s="190"/>
      <c r="K1939" s="190"/>
      <c r="L1939" s="190"/>
      <c r="M1939" s="190"/>
      <c r="O1939" s="190"/>
      <c r="P1939" s="190"/>
      <c r="Q1939" s="190"/>
      <c r="R1939" s="190"/>
      <c r="S1939" s="190"/>
      <c r="T1939" s="190"/>
      <c r="U1939" s="190"/>
      <c r="V1939" s="190"/>
      <c r="W1939" s="190"/>
      <c r="X1939" s="190"/>
      <c r="Y1939" s="190"/>
      <c r="Z1939" s="190"/>
      <c r="AA1939" s="190"/>
    </row>
    <row r="1940" spans="10:27" x14ac:dyDescent="0.25">
      <c r="J1940" s="190"/>
      <c r="K1940" s="190"/>
      <c r="L1940" s="190"/>
      <c r="M1940" s="190"/>
      <c r="O1940" s="190"/>
      <c r="P1940" s="190"/>
      <c r="Q1940" s="190"/>
      <c r="R1940" s="190"/>
      <c r="S1940" s="190"/>
      <c r="T1940" s="190"/>
      <c r="U1940" s="190"/>
      <c r="V1940" s="190"/>
      <c r="W1940" s="190"/>
      <c r="X1940" s="190"/>
      <c r="Y1940" s="190"/>
      <c r="Z1940" s="190"/>
      <c r="AA1940" s="190"/>
    </row>
    <row r="1941" spans="10:27" x14ac:dyDescent="0.25">
      <c r="J1941" s="190"/>
      <c r="K1941" s="190"/>
      <c r="L1941" s="190"/>
      <c r="M1941" s="190"/>
      <c r="O1941" s="190"/>
      <c r="P1941" s="190"/>
      <c r="Q1941" s="190"/>
      <c r="R1941" s="190"/>
      <c r="S1941" s="190"/>
      <c r="T1941" s="190"/>
      <c r="U1941" s="190"/>
      <c r="V1941" s="190"/>
      <c r="W1941" s="190"/>
      <c r="X1941" s="190"/>
      <c r="Y1941" s="190"/>
      <c r="Z1941" s="190"/>
      <c r="AA1941" s="190"/>
    </row>
    <row r="1942" spans="10:27" x14ac:dyDescent="0.25">
      <c r="J1942" s="190"/>
      <c r="K1942" s="190"/>
      <c r="L1942" s="190"/>
      <c r="M1942" s="190"/>
      <c r="O1942" s="190"/>
      <c r="P1942" s="190"/>
      <c r="Q1942" s="190"/>
      <c r="R1942" s="190"/>
      <c r="S1942" s="190"/>
      <c r="T1942" s="190"/>
      <c r="U1942" s="190"/>
      <c r="V1942" s="190"/>
      <c r="W1942" s="190"/>
      <c r="X1942" s="190"/>
      <c r="Y1942" s="190"/>
      <c r="Z1942" s="190"/>
      <c r="AA1942" s="190"/>
    </row>
    <row r="1943" spans="10:27" x14ac:dyDescent="0.25">
      <c r="J1943" s="190"/>
      <c r="K1943" s="190"/>
      <c r="L1943" s="190"/>
      <c r="M1943" s="190"/>
      <c r="O1943" s="190"/>
      <c r="P1943" s="190"/>
      <c r="Q1943" s="190"/>
      <c r="R1943" s="190"/>
      <c r="S1943" s="190"/>
      <c r="T1943" s="190"/>
      <c r="U1943" s="190"/>
      <c r="V1943" s="190"/>
      <c r="W1943" s="190"/>
      <c r="X1943" s="190"/>
      <c r="Y1943" s="190"/>
      <c r="Z1943" s="190"/>
      <c r="AA1943" s="190"/>
    </row>
    <row r="1944" spans="10:27" x14ac:dyDescent="0.25">
      <c r="J1944" s="190"/>
      <c r="K1944" s="190"/>
      <c r="L1944" s="190"/>
      <c r="M1944" s="190"/>
      <c r="O1944" s="190"/>
      <c r="P1944" s="190"/>
      <c r="Q1944" s="190"/>
      <c r="R1944" s="190"/>
      <c r="S1944" s="190"/>
      <c r="T1944" s="190"/>
      <c r="U1944" s="190"/>
      <c r="V1944" s="190"/>
      <c r="W1944" s="190"/>
      <c r="X1944" s="190"/>
      <c r="Y1944" s="190"/>
      <c r="Z1944" s="190"/>
      <c r="AA1944" s="190"/>
    </row>
    <row r="1945" spans="10:27" x14ac:dyDescent="0.25">
      <c r="J1945" s="190"/>
      <c r="K1945" s="190"/>
      <c r="L1945" s="190"/>
      <c r="M1945" s="190"/>
      <c r="O1945" s="190"/>
      <c r="P1945" s="190"/>
      <c r="Q1945" s="190"/>
      <c r="R1945" s="190"/>
      <c r="S1945" s="190"/>
      <c r="T1945" s="190"/>
      <c r="U1945" s="190"/>
      <c r="V1945" s="190"/>
      <c r="W1945" s="190"/>
      <c r="X1945" s="190"/>
      <c r="Y1945" s="190"/>
      <c r="Z1945" s="190"/>
      <c r="AA1945" s="190"/>
    </row>
    <row r="1946" spans="10:27" x14ac:dyDescent="0.25">
      <c r="J1946" s="190"/>
      <c r="K1946" s="190"/>
      <c r="L1946" s="190"/>
      <c r="M1946" s="190"/>
      <c r="O1946" s="190"/>
      <c r="P1946" s="190"/>
      <c r="Q1946" s="190"/>
      <c r="R1946" s="190"/>
      <c r="S1946" s="190"/>
      <c r="T1946" s="190"/>
      <c r="U1946" s="190"/>
      <c r="V1946" s="190"/>
      <c r="W1946" s="190"/>
      <c r="X1946" s="190"/>
      <c r="Y1946" s="190"/>
      <c r="Z1946" s="190"/>
      <c r="AA1946" s="190"/>
    </row>
    <row r="1947" spans="10:27" x14ac:dyDescent="0.25">
      <c r="J1947" s="190"/>
      <c r="K1947" s="190"/>
      <c r="L1947" s="190"/>
      <c r="M1947" s="190"/>
      <c r="O1947" s="190"/>
      <c r="P1947" s="190"/>
      <c r="Q1947" s="190"/>
      <c r="R1947" s="190"/>
      <c r="S1947" s="190"/>
      <c r="T1947" s="190"/>
      <c r="U1947" s="190"/>
      <c r="V1947" s="190"/>
      <c r="W1947" s="190"/>
      <c r="X1947" s="190"/>
      <c r="Y1947" s="190"/>
      <c r="Z1947" s="190"/>
      <c r="AA1947" s="190"/>
    </row>
    <row r="1948" spans="10:27" x14ac:dyDescent="0.25">
      <c r="J1948" s="190"/>
      <c r="K1948" s="190"/>
      <c r="L1948" s="190"/>
      <c r="M1948" s="190"/>
      <c r="O1948" s="190"/>
      <c r="P1948" s="190"/>
      <c r="Q1948" s="190"/>
      <c r="R1948" s="190"/>
      <c r="S1948" s="190"/>
      <c r="T1948" s="190"/>
      <c r="U1948" s="190"/>
      <c r="V1948" s="190"/>
      <c r="W1948" s="190"/>
      <c r="X1948" s="190"/>
      <c r="Y1948" s="190"/>
      <c r="Z1948" s="190"/>
      <c r="AA1948" s="190"/>
    </row>
    <row r="1949" spans="10:27" x14ac:dyDescent="0.25">
      <c r="J1949" s="190"/>
      <c r="K1949" s="190"/>
      <c r="L1949" s="190"/>
      <c r="M1949" s="190"/>
      <c r="O1949" s="190"/>
      <c r="P1949" s="190"/>
      <c r="Q1949" s="190"/>
      <c r="R1949" s="190"/>
      <c r="S1949" s="190"/>
      <c r="T1949" s="190"/>
      <c r="U1949" s="190"/>
      <c r="V1949" s="190"/>
      <c r="W1949" s="190"/>
      <c r="X1949" s="190"/>
      <c r="Y1949" s="190"/>
      <c r="Z1949" s="190"/>
      <c r="AA1949" s="190"/>
    </row>
    <row r="1950" spans="10:27" x14ac:dyDescent="0.25">
      <c r="J1950" s="190"/>
      <c r="K1950" s="190"/>
      <c r="L1950" s="190"/>
      <c r="M1950" s="190"/>
      <c r="O1950" s="190"/>
      <c r="P1950" s="190"/>
      <c r="Q1950" s="190"/>
      <c r="R1950" s="190"/>
      <c r="S1950" s="190"/>
      <c r="T1950" s="190"/>
      <c r="U1950" s="190"/>
      <c r="V1950" s="190"/>
      <c r="W1950" s="190"/>
      <c r="X1950" s="190"/>
      <c r="Y1950" s="190"/>
      <c r="Z1950" s="190"/>
      <c r="AA1950" s="190"/>
    </row>
    <row r="1951" spans="10:27" x14ac:dyDescent="0.25">
      <c r="J1951" s="190"/>
      <c r="K1951" s="190"/>
      <c r="L1951" s="190"/>
      <c r="M1951" s="190"/>
      <c r="O1951" s="190"/>
      <c r="P1951" s="190"/>
      <c r="Q1951" s="190"/>
      <c r="R1951" s="190"/>
      <c r="S1951" s="190"/>
      <c r="T1951" s="190"/>
      <c r="U1951" s="190"/>
      <c r="V1951" s="190"/>
      <c r="W1951" s="190"/>
      <c r="X1951" s="190"/>
      <c r="Y1951" s="190"/>
      <c r="Z1951" s="190"/>
      <c r="AA1951" s="190"/>
    </row>
    <row r="1952" spans="10:27" x14ac:dyDescent="0.25">
      <c r="J1952" s="190"/>
      <c r="K1952" s="190"/>
      <c r="L1952" s="190"/>
      <c r="M1952" s="190"/>
      <c r="O1952" s="190"/>
      <c r="P1952" s="190"/>
      <c r="Q1952" s="190"/>
      <c r="R1952" s="190"/>
      <c r="S1952" s="190"/>
      <c r="T1952" s="190"/>
      <c r="U1952" s="190"/>
      <c r="V1952" s="190"/>
      <c r="W1952" s="190"/>
      <c r="X1952" s="190"/>
      <c r="Y1952" s="190"/>
      <c r="Z1952" s="190"/>
      <c r="AA1952" s="190"/>
    </row>
    <row r="1953" spans="10:27" x14ac:dyDescent="0.25">
      <c r="J1953" s="190"/>
      <c r="K1953" s="190"/>
      <c r="L1953" s="190"/>
      <c r="M1953" s="190"/>
      <c r="O1953" s="190"/>
      <c r="P1953" s="190"/>
      <c r="Q1953" s="190"/>
      <c r="R1953" s="190"/>
      <c r="S1953" s="190"/>
      <c r="T1953" s="190"/>
      <c r="U1953" s="190"/>
      <c r="V1953" s="190"/>
      <c r="W1953" s="190"/>
      <c r="X1953" s="190"/>
      <c r="Y1953" s="190"/>
      <c r="Z1953" s="190"/>
      <c r="AA1953" s="190"/>
    </row>
    <row r="1954" spans="10:27" x14ac:dyDescent="0.25">
      <c r="J1954" s="190"/>
      <c r="K1954" s="190"/>
      <c r="L1954" s="190"/>
      <c r="M1954" s="190"/>
      <c r="O1954" s="190"/>
      <c r="P1954" s="190"/>
      <c r="Q1954" s="190"/>
      <c r="R1954" s="190"/>
      <c r="S1954" s="190"/>
      <c r="T1954" s="190"/>
      <c r="U1954" s="190"/>
      <c r="V1954" s="190"/>
      <c r="W1954" s="190"/>
      <c r="X1954" s="190"/>
      <c r="Y1954" s="190"/>
      <c r="Z1954" s="190"/>
      <c r="AA1954" s="190"/>
    </row>
    <row r="1955" spans="10:27" x14ac:dyDescent="0.25">
      <c r="J1955" s="190"/>
      <c r="K1955" s="190"/>
      <c r="L1955" s="190"/>
      <c r="M1955" s="190"/>
      <c r="O1955" s="190"/>
      <c r="P1955" s="190"/>
      <c r="Q1955" s="190"/>
      <c r="R1955" s="190"/>
      <c r="S1955" s="190"/>
      <c r="T1955" s="190"/>
      <c r="U1955" s="190"/>
      <c r="V1955" s="190"/>
      <c r="W1955" s="190"/>
      <c r="X1955" s="190"/>
      <c r="Y1955" s="190"/>
      <c r="Z1955" s="190"/>
      <c r="AA1955" s="190"/>
    </row>
    <row r="1956" spans="10:27" x14ac:dyDescent="0.25">
      <c r="J1956" s="190"/>
      <c r="K1956" s="190"/>
      <c r="L1956" s="190"/>
      <c r="M1956" s="190"/>
      <c r="O1956" s="190"/>
      <c r="P1956" s="190"/>
      <c r="Q1956" s="190"/>
      <c r="R1956" s="190"/>
      <c r="S1956" s="190"/>
      <c r="T1956" s="190"/>
      <c r="U1956" s="190"/>
      <c r="V1956" s="190"/>
      <c r="W1956" s="190"/>
      <c r="X1956" s="190"/>
      <c r="Y1956" s="190"/>
      <c r="Z1956" s="190"/>
      <c r="AA1956" s="190"/>
    </row>
    <row r="1957" spans="10:27" x14ac:dyDescent="0.25">
      <c r="J1957" s="190"/>
      <c r="K1957" s="190"/>
      <c r="L1957" s="190"/>
      <c r="M1957" s="190"/>
      <c r="O1957" s="190"/>
      <c r="P1957" s="190"/>
      <c r="Q1957" s="190"/>
      <c r="R1957" s="190"/>
      <c r="S1957" s="190"/>
      <c r="T1957" s="190"/>
      <c r="U1957" s="190"/>
      <c r="V1957" s="190"/>
      <c r="W1957" s="190"/>
      <c r="X1957" s="190"/>
      <c r="Y1957" s="190"/>
      <c r="Z1957" s="190"/>
      <c r="AA1957" s="190"/>
    </row>
    <row r="1958" spans="10:27" x14ac:dyDescent="0.25">
      <c r="J1958" s="190"/>
      <c r="K1958" s="190"/>
      <c r="L1958" s="190"/>
      <c r="M1958" s="190"/>
      <c r="O1958" s="190"/>
      <c r="P1958" s="190"/>
      <c r="Q1958" s="190"/>
      <c r="R1958" s="190"/>
      <c r="S1958" s="190"/>
      <c r="T1958" s="190"/>
      <c r="U1958" s="190"/>
      <c r="V1958" s="190"/>
      <c r="W1958" s="190"/>
      <c r="X1958" s="190"/>
      <c r="Y1958" s="190"/>
      <c r="Z1958" s="190"/>
      <c r="AA1958" s="190"/>
    </row>
    <row r="1959" spans="10:27" x14ac:dyDescent="0.25">
      <c r="J1959" s="190"/>
      <c r="K1959" s="190"/>
      <c r="L1959" s="190"/>
      <c r="M1959" s="190"/>
      <c r="O1959" s="190"/>
      <c r="P1959" s="190"/>
      <c r="Q1959" s="190"/>
      <c r="R1959" s="190"/>
      <c r="S1959" s="190"/>
      <c r="T1959" s="190"/>
      <c r="U1959" s="190"/>
      <c r="V1959" s="190"/>
      <c r="W1959" s="190"/>
      <c r="X1959" s="190"/>
      <c r="Y1959" s="190"/>
      <c r="Z1959" s="190"/>
      <c r="AA1959" s="190"/>
    </row>
    <row r="1960" spans="10:27" x14ac:dyDescent="0.25">
      <c r="J1960" s="190"/>
      <c r="K1960" s="190"/>
      <c r="L1960" s="190"/>
      <c r="M1960" s="190"/>
      <c r="O1960" s="190"/>
      <c r="P1960" s="190"/>
      <c r="Q1960" s="190"/>
      <c r="R1960" s="190"/>
      <c r="S1960" s="190"/>
      <c r="T1960" s="190"/>
      <c r="U1960" s="190"/>
      <c r="V1960" s="190"/>
      <c r="W1960" s="190"/>
      <c r="X1960" s="190"/>
      <c r="Y1960" s="190"/>
      <c r="Z1960" s="190"/>
      <c r="AA1960" s="190"/>
    </row>
    <row r="1961" spans="10:27" x14ac:dyDescent="0.25">
      <c r="J1961" s="190"/>
      <c r="K1961" s="190"/>
      <c r="L1961" s="190"/>
      <c r="M1961" s="190"/>
      <c r="O1961" s="190"/>
      <c r="P1961" s="190"/>
      <c r="Q1961" s="190"/>
      <c r="R1961" s="190"/>
      <c r="S1961" s="190"/>
      <c r="T1961" s="190"/>
      <c r="U1961" s="190"/>
      <c r="V1961" s="190"/>
      <c r="W1961" s="190"/>
      <c r="X1961" s="190"/>
      <c r="Y1961" s="190"/>
      <c r="Z1961" s="190"/>
      <c r="AA1961" s="190"/>
    </row>
    <row r="1962" spans="10:27" x14ac:dyDescent="0.25">
      <c r="J1962" s="190"/>
      <c r="K1962" s="190"/>
      <c r="L1962" s="190"/>
      <c r="M1962" s="190"/>
      <c r="O1962" s="190"/>
      <c r="P1962" s="190"/>
      <c r="Q1962" s="190"/>
      <c r="R1962" s="190"/>
      <c r="S1962" s="190"/>
      <c r="T1962" s="190"/>
      <c r="U1962" s="190"/>
      <c r="V1962" s="190"/>
      <c r="W1962" s="190"/>
      <c r="X1962" s="190"/>
      <c r="Y1962" s="190"/>
      <c r="Z1962" s="190"/>
      <c r="AA1962" s="190"/>
    </row>
    <row r="1963" spans="10:27" x14ac:dyDescent="0.25">
      <c r="J1963" s="190"/>
      <c r="K1963" s="190"/>
      <c r="L1963" s="190"/>
      <c r="M1963" s="190"/>
      <c r="O1963" s="190"/>
      <c r="P1963" s="190"/>
      <c r="Q1963" s="190"/>
      <c r="R1963" s="190"/>
      <c r="S1963" s="190"/>
      <c r="T1963" s="190"/>
      <c r="U1963" s="190"/>
      <c r="V1963" s="190"/>
      <c r="W1963" s="190"/>
      <c r="X1963" s="190"/>
      <c r="Y1963" s="190"/>
      <c r="Z1963" s="190"/>
      <c r="AA1963" s="190"/>
    </row>
    <row r="1964" spans="10:27" x14ac:dyDescent="0.25">
      <c r="J1964" s="190"/>
      <c r="K1964" s="190"/>
      <c r="L1964" s="190"/>
      <c r="M1964" s="190"/>
      <c r="O1964" s="190"/>
      <c r="P1964" s="190"/>
      <c r="Q1964" s="190"/>
      <c r="R1964" s="190"/>
      <c r="S1964" s="190"/>
      <c r="T1964" s="190"/>
      <c r="U1964" s="190"/>
      <c r="V1964" s="190"/>
      <c r="W1964" s="190"/>
      <c r="X1964" s="190"/>
      <c r="Y1964" s="190"/>
      <c r="Z1964" s="190"/>
      <c r="AA1964" s="190"/>
    </row>
    <row r="1965" spans="10:27" x14ac:dyDescent="0.25">
      <c r="J1965" s="190"/>
      <c r="K1965" s="190"/>
      <c r="L1965" s="190"/>
      <c r="M1965" s="190"/>
      <c r="O1965" s="190"/>
      <c r="P1965" s="190"/>
      <c r="Q1965" s="190"/>
      <c r="R1965" s="190"/>
      <c r="S1965" s="190"/>
      <c r="T1965" s="190"/>
      <c r="U1965" s="190"/>
      <c r="V1965" s="190"/>
      <c r="W1965" s="190"/>
      <c r="X1965" s="190"/>
      <c r="Y1965" s="190"/>
      <c r="Z1965" s="190"/>
      <c r="AA1965" s="190"/>
    </row>
    <row r="1966" spans="10:27" x14ac:dyDescent="0.25">
      <c r="J1966" s="190"/>
      <c r="K1966" s="190"/>
      <c r="L1966" s="190"/>
      <c r="M1966" s="190"/>
      <c r="O1966" s="190"/>
      <c r="P1966" s="190"/>
      <c r="Q1966" s="190"/>
      <c r="R1966" s="190"/>
      <c r="S1966" s="190"/>
      <c r="T1966" s="190"/>
      <c r="U1966" s="190"/>
      <c r="V1966" s="190"/>
      <c r="W1966" s="190"/>
      <c r="X1966" s="190"/>
      <c r="Y1966" s="190"/>
      <c r="Z1966" s="190"/>
      <c r="AA1966" s="190"/>
    </row>
    <row r="1967" spans="10:27" x14ac:dyDescent="0.25">
      <c r="J1967" s="190"/>
      <c r="K1967" s="190"/>
      <c r="L1967" s="190"/>
      <c r="M1967" s="190"/>
      <c r="O1967" s="190"/>
      <c r="P1967" s="190"/>
      <c r="Q1967" s="190"/>
      <c r="R1967" s="190"/>
      <c r="S1967" s="190"/>
      <c r="T1967" s="190"/>
      <c r="U1967" s="190"/>
      <c r="V1967" s="190"/>
      <c r="W1967" s="190"/>
      <c r="X1967" s="190"/>
      <c r="Y1967" s="190"/>
      <c r="Z1967" s="190"/>
      <c r="AA1967" s="190"/>
    </row>
    <row r="1968" spans="10:27" x14ac:dyDescent="0.25">
      <c r="J1968" s="190"/>
      <c r="K1968" s="190"/>
      <c r="L1968" s="190"/>
      <c r="M1968" s="190"/>
      <c r="O1968" s="190"/>
      <c r="P1968" s="190"/>
      <c r="Q1968" s="190"/>
      <c r="R1968" s="190"/>
      <c r="S1968" s="190"/>
      <c r="T1968" s="190"/>
      <c r="U1968" s="190"/>
      <c r="V1968" s="190"/>
      <c r="W1968" s="190"/>
      <c r="X1968" s="190"/>
      <c r="Y1968" s="190"/>
      <c r="Z1968" s="190"/>
      <c r="AA1968" s="190"/>
    </row>
    <row r="1969" spans="10:27" x14ac:dyDescent="0.25">
      <c r="J1969" s="190"/>
      <c r="K1969" s="190"/>
      <c r="L1969" s="190"/>
      <c r="M1969" s="190"/>
      <c r="O1969" s="190"/>
      <c r="P1969" s="190"/>
      <c r="Q1969" s="190"/>
      <c r="R1969" s="190"/>
      <c r="S1969" s="190"/>
      <c r="T1969" s="190"/>
      <c r="U1969" s="190"/>
      <c r="V1969" s="190"/>
      <c r="W1969" s="190"/>
      <c r="X1969" s="190"/>
      <c r="Y1969" s="190"/>
      <c r="Z1969" s="190"/>
      <c r="AA1969" s="190"/>
    </row>
    <row r="1970" spans="10:27" x14ac:dyDescent="0.25">
      <c r="J1970" s="190"/>
      <c r="K1970" s="190"/>
      <c r="L1970" s="190"/>
      <c r="M1970" s="190"/>
      <c r="O1970" s="190"/>
      <c r="P1970" s="190"/>
      <c r="Q1970" s="190"/>
      <c r="R1970" s="190"/>
      <c r="S1970" s="190"/>
      <c r="T1970" s="190"/>
      <c r="U1970" s="190"/>
      <c r="V1970" s="190"/>
      <c r="W1970" s="190"/>
      <c r="X1970" s="190"/>
      <c r="Y1970" s="190"/>
      <c r="Z1970" s="190"/>
      <c r="AA1970" s="190"/>
    </row>
    <row r="1971" spans="10:27" x14ac:dyDescent="0.25">
      <c r="J1971" s="190"/>
      <c r="K1971" s="190"/>
      <c r="L1971" s="190"/>
      <c r="M1971" s="190"/>
      <c r="O1971" s="190"/>
      <c r="P1971" s="190"/>
      <c r="Q1971" s="190"/>
      <c r="R1971" s="190"/>
      <c r="S1971" s="190"/>
      <c r="T1971" s="190"/>
      <c r="U1971" s="190"/>
      <c r="V1971" s="190"/>
      <c r="W1971" s="190"/>
      <c r="X1971" s="190"/>
      <c r="Y1971" s="190"/>
      <c r="Z1971" s="190"/>
      <c r="AA1971" s="190"/>
    </row>
    <row r="1972" spans="10:27" x14ac:dyDescent="0.25">
      <c r="J1972" s="190"/>
      <c r="K1972" s="190"/>
      <c r="L1972" s="190"/>
      <c r="M1972" s="190"/>
      <c r="O1972" s="190"/>
      <c r="P1972" s="190"/>
      <c r="Q1972" s="190"/>
      <c r="R1972" s="190"/>
      <c r="S1972" s="190"/>
      <c r="T1972" s="190"/>
      <c r="U1972" s="190"/>
      <c r="V1972" s="190"/>
      <c r="W1972" s="190"/>
      <c r="X1972" s="190"/>
      <c r="Y1972" s="190"/>
      <c r="Z1972" s="190"/>
      <c r="AA1972" s="190"/>
    </row>
    <row r="1973" spans="10:27" x14ac:dyDescent="0.25">
      <c r="J1973" s="190"/>
      <c r="K1973" s="190"/>
      <c r="L1973" s="190"/>
      <c r="M1973" s="190"/>
      <c r="O1973" s="190"/>
      <c r="P1973" s="190"/>
      <c r="Q1973" s="190"/>
      <c r="R1973" s="190"/>
      <c r="S1973" s="190"/>
      <c r="T1973" s="190"/>
      <c r="U1973" s="190"/>
      <c r="V1973" s="190"/>
      <c r="W1973" s="190"/>
      <c r="X1973" s="190"/>
      <c r="Y1973" s="190"/>
      <c r="Z1973" s="190"/>
      <c r="AA1973" s="190"/>
    </row>
    <row r="1974" spans="10:27" x14ac:dyDescent="0.25">
      <c r="J1974" s="190"/>
      <c r="K1974" s="190"/>
      <c r="L1974" s="190"/>
      <c r="M1974" s="190"/>
      <c r="O1974" s="190"/>
      <c r="P1974" s="190"/>
      <c r="Q1974" s="190"/>
      <c r="R1974" s="190"/>
      <c r="S1974" s="190"/>
      <c r="T1974" s="190"/>
      <c r="U1974" s="190"/>
      <c r="V1974" s="190"/>
      <c r="W1974" s="190"/>
      <c r="X1974" s="190"/>
      <c r="Y1974" s="190"/>
      <c r="Z1974" s="190"/>
      <c r="AA1974" s="190"/>
    </row>
    <row r="1975" spans="10:27" x14ac:dyDescent="0.25">
      <c r="J1975" s="190"/>
      <c r="K1975" s="190"/>
      <c r="L1975" s="190"/>
      <c r="M1975" s="190"/>
      <c r="O1975" s="190"/>
      <c r="P1975" s="190"/>
      <c r="Q1975" s="190"/>
      <c r="R1975" s="190"/>
      <c r="S1975" s="190"/>
      <c r="T1975" s="190"/>
      <c r="U1975" s="190"/>
      <c r="V1975" s="190"/>
      <c r="W1975" s="190"/>
      <c r="X1975" s="190"/>
      <c r="Y1975" s="190"/>
      <c r="Z1975" s="190"/>
      <c r="AA1975" s="190"/>
    </row>
    <row r="1976" spans="10:27" x14ac:dyDescent="0.25">
      <c r="J1976" s="190"/>
      <c r="K1976" s="190"/>
      <c r="L1976" s="190"/>
      <c r="M1976" s="190"/>
      <c r="O1976" s="190"/>
      <c r="P1976" s="190"/>
      <c r="Q1976" s="190"/>
      <c r="R1976" s="190"/>
      <c r="S1976" s="190"/>
      <c r="T1976" s="190"/>
      <c r="U1976" s="190"/>
      <c r="V1976" s="190"/>
      <c r="W1976" s="190"/>
      <c r="X1976" s="190"/>
      <c r="Y1976" s="190"/>
      <c r="Z1976" s="190"/>
      <c r="AA1976" s="190"/>
    </row>
    <row r="1977" spans="10:27" x14ac:dyDescent="0.25">
      <c r="J1977" s="190"/>
      <c r="K1977" s="190"/>
      <c r="L1977" s="190"/>
      <c r="M1977" s="190"/>
      <c r="O1977" s="190"/>
      <c r="P1977" s="190"/>
      <c r="Q1977" s="190"/>
      <c r="R1977" s="190"/>
      <c r="S1977" s="190"/>
      <c r="T1977" s="190"/>
      <c r="U1977" s="190"/>
      <c r="V1977" s="190"/>
      <c r="W1977" s="190"/>
      <c r="X1977" s="190"/>
      <c r="Y1977" s="190"/>
      <c r="Z1977" s="190"/>
      <c r="AA1977" s="190"/>
    </row>
    <row r="1978" spans="10:27" x14ac:dyDescent="0.25">
      <c r="J1978" s="190"/>
      <c r="K1978" s="190"/>
      <c r="L1978" s="190"/>
      <c r="M1978" s="190"/>
      <c r="O1978" s="190"/>
      <c r="P1978" s="190"/>
      <c r="Q1978" s="190"/>
      <c r="R1978" s="190"/>
      <c r="S1978" s="190"/>
      <c r="T1978" s="190"/>
      <c r="U1978" s="190"/>
      <c r="V1978" s="190"/>
      <c r="W1978" s="190"/>
      <c r="X1978" s="190"/>
      <c r="Y1978" s="190"/>
      <c r="Z1978" s="190"/>
      <c r="AA1978" s="190"/>
    </row>
    <row r="1979" spans="10:27" x14ac:dyDescent="0.25">
      <c r="J1979" s="190"/>
      <c r="K1979" s="190"/>
      <c r="L1979" s="190"/>
      <c r="M1979" s="190"/>
      <c r="O1979" s="190"/>
      <c r="P1979" s="190"/>
      <c r="Q1979" s="190"/>
      <c r="R1979" s="190"/>
      <c r="S1979" s="190"/>
      <c r="T1979" s="190"/>
      <c r="U1979" s="190"/>
      <c r="V1979" s="190"/>
      <c r="W1979" s="190"/>
      <c r="X1979" s="190"/>
      <c r="Y1979" s="190"/>
      <c r="Z1979" s="190"/>
      <c r="AA1979" s="190"/>
    </row>
    <row r="1980" spans="10:27" x14ac:dyDescent="0.25">
      <c r="J1980" s="190"/>
      <c r="K1980" s="190"/>
      <c r="L1980" s="190"/>
      <c r="M1980" s="190"/>
      <c r="O1980" s="190"/>
      <c r="P1980" s="190"/>
      <c r="Q1980" s="190"/>
      <c r="R1980" s="190"/>
      <c r="S1980" s="190"/>
      <c r="T1980" s="190"/>
      <c r="U1980" s="190"/>
      <c r="V1980" s="190"/>
      <c r="W1980" s="190"/>
      <c r="X1980" s="190"/>
      <c r="Y1980" s="190"/>
      <c r="Z1980" s="190"/>
      <c r="AA1980" s="190"/>
    </row>
    <row r="1981" spans="10:27" x14ac:dyDescent="0.25">
      <c r="J1981" s="190"/>
      <c r="K1981" s="190"/>
      <c r="L1981" s="190"/>
      <c r="M1981" s="190"/>
      <c r="O1981" s="190"/>
      <c r="P1981" s="190"/>
      <c r="Q1981" s="190"/>
      <c r="R1981" s="190"/>
      <c r="S1981" s="190"/>
      <c r="T1981" s="190"/>
      <c r="U1981" s="190"/>
      <c r="V1981" s="190"/>
      <c r="W1981" s="190"/>
      <c r="X1981" s="190"/>
      <c r="Y1981" s="190"/>
      <c r="Z1981" s="190"/>
      <c r="AA1981" s="190"/>
    </row>
    <row r="1982" spans="10:27" x14ac:dyDescent="0.25">
      <c r="J1982" s="190"/>
      <c r="K1982" s="190"/>
      <c r="L1982" s="190"/>
      <c r="M1982" s="190"/>
      <c r="O1982" s="190"/>
      <c r="P1982" s="190"/>
      <c r="Q1982" s="190"/>
      <c r="R1982" s="190"/>
      <c r="S1982" s="190"/>
      <c r="T1982" s="190"/>
      <c r="U1982" s="190"/>
      <c r="V1982" s="190"/>
      <c r="W1982" s="190"/>
      <c r="X1982" s="190"/>
      <c r="Y1982" s="190"/>
      <c r="Z1982" s="190"/>
      <c r="AA1982" s="190"/>
    </row>
    <row r="1983" spans="10:27" x14ac:dyDescent="0.25">
      <c r="J1983" s="190"/>
      <c r="K1983" s="190"/>
      <c r="L1983" s="190"/>
      <c r="M1983" s="190"/>
      <c r="O1983" s="190"/>
      <c r="P1983" s="190"/>
      <c r="Q1983" s="190"/>
      <c r="R1983" s="190"/>
      <c r="S1983" s="190"/>
      <c r="T1983" s="190"/>
      <c r="U1983" s="190"/>
      <c r="V1983" s="190"/>
      <c r="W1983" s="190"/>
      <c r="X1983" s="190"/>
      <c r="Y1983" s="190"/>
      <c r="Z1983" s="190"/>
      <c r="AA1983" s="190"/>
    </row>
    <row r="1984" spans="10:27" x14ac:dyDescent="0.25">
      <c r="J1984" s="190"/>
      <c r="K1984" s="190"/>
      <c r="L1984" s="190"/>
      <c r="M1984" s="190"/>
      <c r="O1984" s="190"/>
      <c r="P1984" s="190"/>
      <c r="Q1984" s="190"/>
      <c r="R1984" s="190"/>
      <c r="S1984" s="190"/>
      <c r="T1984" s="190"/>
      <c r="U1984" s="190"/>
      <c r="V1984" s="190"/>
      <c r="W1984" s="190"/>
      <c r="X1984" s="190"/>
      <c r="Y1984" s="190"/>
      <c r="Z1984" s="190"/>
      <c r="AA1984" s="190"/>
    </row>
    <row r="1985" spans="10:27" x14ac:dyDescent="0.25">
      <c r="J1985" s="190"/>
      <c r="K1985" s="190"/>
      <c r="L1985" s="190"/>
      <c r="M1985" s="190"/>
      <c r="O1985" s="190"/>
      <c r="P1985" s="190"/>
      <c r="Q1985" s="190"/>
      <c r="R1985" s="190"/>
      <c r="S1985" s="190"/>
      <c r="T1985" s="190"/>
      <c r="U1985" s="190"/>
      <c r="V1985" s="190"/>
      <c r="W1985" s="190"/>
      <c r="X1985" s="190"/>
      <c r="Y1985" s="190"/>
      <c r="Z1985" s="190"/>
      <c r="AA1985" s="190"/>
    </row>
    <row r="1986" spans="10:27" x14ac:dyDescent="0.25">
      <c r="J1986" s="190"/>
      <c r="K1986" s="190"/>
      <c r="L1986" s="190"/>
      <c r="M1986" s="190"/>
      <c r="O1986" s="190"/>
      <c r="P1986" s="190"/>
      <c r="Q1986" s="190"/>
      <c r="R1986" s="190"/>
      <c r="S1986" s="190"/>
      <c r="T1986" s="190"/>
      <c r="U1986" s="190"/>
      <c r="V1986" s="190"/>
      <c r="W1986" s="190"/>
      <c r="X1986" s="190"/>
      <c r="Y1986" s="190"/>
      <c r="Z1986" s="190"/>
      <c r="AA1986" s="190"/>
    </row>
    <row r="1987" spans="10:27" x14ac:dyDescent="0.25">
      <c r="J1987" s="190"/>
      <c r="K1987" s="190"/>
      <c r="L1987" s="190"/>
      <c r="M1987" s="190"/>
      <c r="O1987" s="190"/>
      <c r="P1987" s="190"/>
      <c r="Q1987" s="190"/>
      <c r="R1987" s="190"/>
      <c r="S1987" s="190"/>
      <c r="T1987" s="190"/>
      <c r="U1987" s="190"/>
      <c r="V1987" s="190"/>
      <c r="W1987" s="190"/>
      <c r="X1987" s="190"/>
      <c r="Y1987" s="190"/>
      <c r="Z1987" s="190"/>
      <c r="AA1987" s="190"/>
    </row>
    <row r="1988" spans="10:27" x14ac:dyDescent="0.25">
      <c r="J1988" s="190"/>
      <c r="K1988" s="190"/>
      <c r="L1988" s="190"/>
      <c r="M1988" s="190"/>
      <c r="O1988" s="190"/>
      <c r="P1988" s="190"/>
      <c r="Q1988" s="190"/>
      <c r="R1988" s="190"/>
      <c r="S1988" s="190"/>
      <c r="T1988" s="190"/>
      <c r="U1988" s="190"/>
      <c r="V1988" s="190"/>
      <c r="W1988" s="190"/>
      <c r="X1988" s="190"/>
      <c r="Y1988" s="190"/>
      <c r="Z1988" s="190"/>
      <c r="AA1988" s="190"/>
    </row>
    <row r="1989" spans="10:27" x14ac:dyDescent="0.25">
      <c r="J1989" s="190"/>
      <c r="K1989" s="190"/>
      <c r="L1989" s="190"/>
      <c r="M1989" s="190"/>
      <c r="O1989" s="190"/>
      <c r="P1989" s="190"/>
      <c r="Q1989" s="190"/>
      <c r="R1989" s="190"/>
      <c r="S1989" s="190"/>
      <c r="T1989" s="190"/>
      <c r="U1989" s="190"/>
      <c r="V1989" s="190"/>
      <c r="W1989" s="190"/>
      <c r="X1989" s="190"/>
      <c r="Y1989" s="190"/>
      <c r="Z1989" s="190"/>
      <c r="AA1989" s="190"/>
    </row>
    <row r="1990" spans="10:27" x14ac:dyDescent="0.25">
      <c r="J1990" s="190"/>
      <c r="K1990" s="190"/>
      <c r="L1990" s="190"/>
      <c r="M1990" s="190"/>
      <c r="O1990" s="190"/>
      <c r="P1990" s="190"/>
      <c r="Q1990" s="190"/>
      <c r="R1990" s="190"/>
      <c r="S1990" s="190"/>
      <c r="T1990" s="190"/>
      <c r="U1990" s="190"/>
      <c r="V1990" s="190"/>
      <c r="W1990" s="190"/>
      <c r="X1990" s="190"/>
      <c r="Y1990" s="190"/>
      <c r="Z1990" s="190"/>
      <c r="AA1990" s="190"/>
    </row>
    <row r="1991" spans="10:27" x14ac:dyDescent="0.25">
      <c r="J1991" s="190"/>
      <c r="K1991" s="190"/>
      <c r="L1991" s="190"/>
      <c r="M1991" s="190"/>
      <c r="O1991" s="190"/>
      <c r="P1991" s="190"/>
      <c r="Q1991" s="190"/>
      <c r="R1991" s="190"/>
      <c r="S1991" s="190"/>
      <c r="T1991" s="190"/>
      <c r="U1991" s="190"/>
      <c r="V1991" s="190"/>
      <c r="W1991" s="190"/>
      <c r="X1991" s="190"/>
      <c r="Y1991" s="190"/>
      <c r="Z1991" s="190"/>
      <c r="AA1991" s="190"/>
    </row>
    <row r="1992" spans="10:27" x14ac:dyDescent="0.25">
      <c r="J1992" s="190"/>
      <c r="K1992" s="190"/>
      <c r="L1992" s="190"/>
      <c r="M1992" s="190"/>
      <c r="O1992" s="190"/>
      <c r="P1992" s="190"/>
      <c r="Q1992" s="190"/>
      <c r="R1992" s="190"/>
      <c r="S1992" s="190"/>
      <c r="T1992" s="190"/>
      <c r="U1992" s="190"/>
      <c r="V1992" s="190"/>
      <c r="W1992" s="190"/>
      <c r="X1992" s="190"/>
      <c r="Y1992" s="190"/>
      <c r="Z1992" s="190"/>
      <c r="AA1992" s="190"/>
    </row>
    <row r="1993" spans="10:27" x14ac:dyDescent="0.25">
      <c r="J1993" s="190"/>
      <c r="K1993" s="190"/>
      <c r="L1993" s="190"/>
      <c r="M1993" s="190"/>
      <c r="O1993" s="190"/>
      <c r="P1993" s="190"/>
      <c r="Q1993" s="190"/>
      <c r="R1993" s="190"/>
      <c r="S1993" s="190"/>
      <c r="T1993" s="190"/>
      <c r="U1993" s="190"/>
      <c r="V1993" s="190"/>
      <c r="W1993" s="190"/>
      <c r="X1993" s="190"/>
      <c r="Y1993" s="190"/>
      <c r="Z1993" s="190"/>
      <c r="AA1993" s="190"/>
    </row>
    <row r="1994" spans="10:27" x14ac:dyDescent="0.25">
      <c r="J1994" s="190"/>
      <c r="K1994" s="190"/>
      <c r="L1994" s="190"/>
      <c r="M1994" s="190"/>
      <c r="O1994" s="190"/>
      <c r="P1994" s="190"/>
      <c r="Q1994" s="190"/>
      <c r="R1994" s="190"/>
      <c r="S1994" s="190"/>
      <c r="T1994" s="190"/>
      <c r="U1994" s="190"/>
      <c r="V1994" s="190"/>
      <c r="W1994" s="190"/>
      <c r="X1994" s="190"/>
      <c r="Y1994" s="190"/>
      <c r="Z1994" s="190"/>
      <c r="AA1994" s="190"/>
    </row>
    <row r="1995" spans="10:27" x14ac:dyDescent="0.25">
      <c r="J1995" s="190"/>
      <c r="K1995" s="190"/>
      <c r="L1995" s="190"/>
      <c r="M1995" s="190"/>
      <c r="O1995" s="190"/>
      <c r="P1995" s="190"/>
      <c r="Q1995" s="190"/>
      <c r="R1995" s="190"/>
      <c r="S1995" s="190"/>
      <c r="T1995" s="190"/>
      <c r="U1995" s="190"/>
      <c r="V1995" s="190"/>
      <c r="W1995" s="190"/>
      <c r="X1995" s="190"/>
      <c r="Y1995" s="190"/>
      <c r="Z1995" s="190"/>
      <c r="AA1995" s="190"/>
    </row>
    <row r="1996" spans="10:27" x14ac:dyDescent="0.25">
      <c r="J1996" s="190"/>
      <c r="K1996" s="190"/>
      <c r="L1996" s="190"/>
      <c r="M1996" s="190"/>
      <c r="O1996" s="190"/>
      <c r="P1996" s="190"/>
      <c r="Q1996" s="190"/>
      <c r="R1996" s="190"/>
      <c r="S1996" s="190"/>
      <c r="T1996" s="190"/>
      <c r="U1996" s="190"/>
      <c r="V1996" s="190"/>
      <c r="W1996" s="190"/>
      <c r="X1996" s="190"/>
      <c r="Y1996" s="190"/>
      <c r="Z1996" s="190"/>
      <c r="AA1996" s="190"/>
    </row>
    <row r="1997" spans="10:27" x14ac:dyDescent="0.25">
      <c r="J1997" s="190"/>
      <c r="K1997" s="190"/>
      <c r="L1997" s="190"/>
      <c r="M1997" s="190"/>
      <c r="O1997" s="190"/>
      <c r="P1997" s="190"/>
      <c r="Q1997" s="190"/>
      <c r="R1997" s="190"/>
      <c r="S1997" s="190"/>
      <c r="T1997" s="190"/>
      <c r="U1997" s="190"/>
      <c r="V1997" s="190"/>
      <c r="W1997" s="190"/>
      <c r="X1997" s="190"/>
      <c r="Y1997" s="190"/>
      <c r="Z1997" s="190"/>
      <c r="AA1997" s="190"/>
    </row>
    <row r="1998" spans="10:27" x14ac:dyDescent="0.25">
      <c r="J1998" s="190"/>
      <c r="K1998" s="190"/>
      <c r="L1998" s="190"/>
      <c r="M1998" s="190"/>
      <c r="O1998" s="190"/>
      <c r="P1998" s="190"/>
      <c r="Q1998" s="190"/>
      <c r="R1998" s="190"/>
      <c r="S1998" s="190"/>
      <c r="T1998" s="190"/>
      <c r="U1998" s="190"/>
      <c r="V1998" s="190"/>
      <c r="W1998" s="190"/>
      <c r="X1998" s="190"/>
      <c r="Y1998" s="190"/>
      <c r="Z1998" s="190"/>
      <c r="AA1998" s="190"/>
    </row>
    <row r="1999" spans="10:27" x14ac:dyDescent="0.25">
      <c r="J1999" s="190"/>
      <c r="K1999" s="190"/>
      <c r="L1999" s="190"/>
      <c r="M1999" s="190"/>
      <c r="O1999" s="190"/>
      <c r="P1999" s="190"/>
      <c r="Q1999" s="190"/>
      <c r="R1999" s="190"/>
      <c r="S1999" s="190"/>
      <c r="T1999" s="190"/>
      <c r="U1999" s="190"/>
      <c r="V1999" s="190"/>
      <c r="W1999" s="190"/>
      <c r="X1999" s="190"/>
      <c r="Y1999" s="190"/>
      <c r="Z1999" s="190"/>
      <c r="AA1999" s="190"/>
    </row>
    <row r="2000" spans="10:27" x14ac:dyDescent="0.25">
      <c r="J2000" s="190"/>
      <c r="K2000" s="190"/>
      <c r="L2000" s="190"/>
      <c r="M2000" s="190"/>
      <c r="O2000" s="190"/>
      <c r="P2000" s="190"/>
      <c r="Q2000" s="190"/>
      <c r="R2000" s="190"/>
      <c r="S2000" s="190"/>
      <c r="T2000" s="190"/>
      <c r="U2000" s="190"/>
      <c r="V2000" s="190"/>
      <c r="W2000" s="190"/>
      <c r="X2000" s="190"/>
      <c r="Y2000" s="190"/>
      <c r="Z2000" s="190"/>
      <c r="AA2000" s="190"/>
    </row>
  </sheetData>
  <sheetProtection algorithmName="SHA-512" hashValue="i6qhD7wrjPIP3LrFum7K61pUuR3PxJXPN/ChF+/m228ig9bf1jElpynh2DhYBvuo6FiKMBedUYP4AMyOoj07Ug==" saltValue="hEk0snC9CsgEQ8rG+YgW8g==" spinCount="100000" sheet="1" objects="1" scenarios="1"/>
  <phoneticPr fontId="3" type="noConversion"/>
  <conditionalFormatting sqref="J4:J2000">
    <cfRule type="expression" dxfId="0" priority="1">
      <formula>ISERROR(MATCH($J4,$A$3:$A$2000,0))</formula>
    </cfRule>
  </conditionalFormatting>
  <dataValidations count="1">
    <dataValidation type="decimal" allowBlank="1" showInputMessage="1" showErrorMessage="1" errorTitle="Geen getal" error="Alleen gehele getallen invoeren tussen 0 en 100 miljoen." sqref="F4:G1000" xr:uid="{4A8881F0-6C44-4A76-BADA-B55E01EE9666}">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7" max="17" width="46.28515625" bestFit="1" customWidth="1"/>
    <col min="18" max="18" width="17.28515625" customWidth="1"/>
    <col min="19" max="19" width="23" customWidth="1"/>
    <col min="20" max="20" width="29.5703125" customWidth="1"/>
    <col min="21" max="21" width="9.140625" bestFit="1" customWidth="1"/>
    <col min="22" max="22" width="28.7109375" bestFit="1" customWidth="1"/>
    <col min="23" max="24" width="14.85546875" customWidth="1"/>
    <col min="25" max="25" width="25.28515625" customWidth="1"/>
    <col min="26" max="26" width="20.140625" customWidth="1"/>
    <col min="27" max="27" width="14.28515625" bestFit="1" customWidth="1"/>
  </cols>
  <sheetData>
    <row r="1" spans="1:27" x14ac:dyDescent="0.25">
      <c r="A1" s="103" t="s">
        <v>166</v>
      </c>
      <c r="B1" s="104" t="s">
        <v>92</v>
      </c>
      <c r="C1" s="104" t="s">
        <v>174</v>
      </c>
      <c r="D1" s="104" t="s">
        <v>40</v>
      </c>
      <c r="E1" s="104" t="s">
        <v>137</v>
      </c>
      <c r="F1" s="104" t="s">
        <v>93</v>
      </c>
      <c r="G1" s="104" t="s">
        <v>94</v>
      </c>
      <c r="H1" s="104" t="s">
        <v>97</v>
      </c>
      <c r="I1" s="104" t="s">
        <v>98</v>
      </c>
      <c r="J1" s="104" t="s">
        <v>181</v>
      </c>
      <c r="K1" s="104" t="s">
        <v>182</v>
      </c>
      <c r="L1" s="104" t="s">
        <v>138</v>
      </c>
      <c r="M1" s="104" t="s">
        <v>140</v>
      </c>
      <c r="N1" s="104" t="s">
        <v>139</v>
      </c>
      <c r="Q1" t="s">
        <v>90</v>
      </c>
      <c r="R1" t="s">
        <v>24</v>
      </c>
      <c r="S1" t="s">
        <v>23</v>
      </c>
      <c r="T1" t="s">
        <v>22</v>
      </c>
      <c r="V1" t="s">
        <v>90</v>
      </c>
      <c r="W1" t="s">
        <v>24</v>
      </c>
      <c r="X1" t="s">
        <v>23</v>
      </c>
      <c r="Y1" t="s">
        <v>22</v>
      </c>
    </row>
    <row r="2" spans="1:27" x14ac:dyDescent="0.25">
      <c r="A2" s="78" t="str" cm="1">
        <f t="array" ref="A2">IFERROR(_xlfn.UNIQUE(_xlfn._xlws.FILTER('5. Kosten uitvoering project'!$E$6:$F$105,'5. Kosten uitvoering project'!$E$6:$E$105&lt;&gt;"")),"")</f>
        <v/>
      </c>
      <c r="B2" s="78"/>
      <c r="C2" s="78" t="str">
        <f>IFERROR(VLOOKUP($B2,Tb_ProjectKosten[],4,0),"")</f>
        <v/>
      </c>
      <c r="D2" s="105" t="str" cm="1">
        <f t="array" ref="D2">IFERROR(INDEX(Tb_KostenOpties[],MATCH(B2,Tb_KostenOpties[KostenOptie],0),IFERROR(MATCH(Methode_Keuze,Tb_KostenOpties[#Headers],0),2)),"")</f>
        <v/>
      </c>
      <c r="E2" s="117">
        <f>IFERROR(VLOOKUP(B2,Tb_ProjectKosten[[#All],[KostenOmschrijving]:[Forfat_Percentage]],6,0),0)</f>
        <v>0</v>
      </c>
      <c r="F2" s="115">
        <f>SUMIFS('5. Kosten uitvoering project'!P:P,'5. Kosten uitvoering project'!E:E,SubsidieTabel!A2,'5. Kosten uitvoering project'!F:F,SubsidieTabel!B2)</f>
        <v>0</v>
      </c>
      <c r="G2" s="115">
        <f>SUMIFS('5. Kosten uitvoering project'!Q:Q,'5. Kosten uitvoering project'!E:E,SubsidieTabel!A2,'5. Kosten uitvoering project'!F:F,SubsidieTabel!B2)</f>
        <v>0</v>
      </c>
      <c r="H2" s="115">
        <f>SUMIFS('5. Kosten uitvoering project'!R:R,'5. Kosten uitvoering project'!E:E,SubsidieTabel!A2,'5. Kosten uitvoering project'!F:F,SubsidieTabel!B2)</f>
        <v>0</v>
      </c>
      <c r="I2" s="115">
        <f>SUMIFS('5. Kosten uitvoering project'!S:S,'5. Kosten uitvoering project'!E:E,SubsidieTabel!A2,'5. Kosten uitvoering project'!F:F,SubsidieTabel!B2)</f>
        <v>0</v>
      </c>
      <c r="J2" s="115">
        <f>IFERROR(F2+H2,"")</f>
        <v>0</v>
      </c>
      <c r="K2" s="115">
        <f>IFERROR(G2+I2,"")</f>
        <v>0</v>
      </c>
      <c r="L2" s="117" t="str">
        <f>IFERROR(VLOOKUP(A2,Lijsten!$AD:$AE,2,0),"")</f>
        <v/>
      </c>
      <c r="M2" s="115">
        <f>IFERROR($L2*(F2+H2),0)</f>
        <v>0</v>
      </c>
      <c r="N2" s="115">
        <f>IFERROR($L2*(G2+I2),0)</f>
        <v>0</v>
      </c>
      <c r="Q2" s="78" t="s">
        <v>8</v>
      </c>
      <c r="R2">
        <v>1</v>
      </c>
      <c r="S2">
        <v>0</v>
      </c>
      <c r="T2">
        <v>1</v>
      </c>
      <c r="V2" t="s">
        <v>8</v>
      </c>
      <c r="W2">
        <v>1</v>
      </c>
      <c r="X2">
        <v>0</v>
      </c>
      <c r="Y2">
        <v>1</v>
      </c>
    </row>
    <row r="3" spans="1:27" x14ac:dyDescent="0.25">
      <c r="A3" s="18"/>
      <c r="B3" s="18"/>
      <c r="C3" s="18" t="str">
        <f>IFERROR(VLOOKUP($B3,Tb_ProjectKosten[],4,0),"")</f>
        <v/>
      </c>
      <c r="D3" s="106" t="str" cm="1">
        <f t="array" ref="D3">IFERROR(INDEX(Tb_KostenOpties[],MATCH(B3,Tb_KostenOpties[KostenOptie],0),IFERROR(MATCH(Methode_Keuze,Tb_KostenOpties[#Headers],0),2)),"")</f>
        <v/>
      </c>
      <c r="E3" s="118">
        <f>IFERROR(VLOOKUP(B3,Tb_ProjectKosten[[#All],[KostenOmschrijving]:[Forfat_Percentage]],6,0),0)</f>
        <v>0</v>
      </c>
      <c r="F3" s="116">
        <f>SUMIFS('5. Kosten uitvoering project'!P:P,'5. Kosten uitvoering project'!E:E,SubsidieTabel!A3,'5. Kosten uitvoering project'!F:F,SubsidieTabel!B3)</f>
        <v>0</v>
      </c>
      <c r="G3" s="116">
        <f>SUMIFS('5. Kosten uitvoering project'!Q:Q,'5. Kosten uitvoering project'!E:E,SubsidieTabel!A3,'5. Kosten uitvoering project'!F:F,SubsidieTabel!B3)</f>
        <v>0</v>
      </c>
      <c r="H3" s="116">
        <f>SUMIFS('5. Kosten uitvoering project'!R:R,'5. Kosten uitvoering project'!E:E,SubsidieTabel!A3,'5. Kosten uitvoering project'!F:F,SubsidieTabel!B3)</f>
        <v>0</v>
      </c>
      <c r="I3" s="116">
        <f>SUMIFS('5. Kosten uitvoering project'!S:S,'5. Kosten uitvoering project'!E:E,SubsidieTabel!A3,'5. Kosten uitvoering project'!F:F,SubsidieTabel!B3)</f>
        <v>0</v>
      </c>
      <c r="J3" s="116">
        <f t="shared" ref="J3:J66" si="0">IFERROR(F3+H3,"")</f>
        <v>0</v>
      </c>
      <c r="K3" s="116">
        <f t="shared" ref="K3:K66" si="1">IFERROR(G3+I3,"")</f>
        <v>0</v>
      </c>
      <c r="L3" s="118" t="str">
        <f>IFERROR(VLOOKUP(A3,Lijsten!$AD:$AE,2,0),"")</f>
        <v/>
      </c>
      <c r="M3" s="116">
        <f t="shared" ref="M3:M66" si="2">IFERROR($L3*(F3+H3),0)</f>
        <v>0</v>
      </c>
      <c r="N3" s="116">
        <f t="shared" ref="N3:N66" si="3">IFERROR($L3*(G3+I3),0)</f>
        <v>0</v>
      </c>
      <c r="Q3" s="18" t="s">
        <v>91</v>
      </c>
      <c r="R3">
        <v>1</v>
      </c>
      <c r="S3">
        <v>0</v>
      </c>
      <c r="T3">
        <v>1</v>
      </c>
      <c r="V3" t="s">
        <v>91</v>
      </c>
      <c r="W3">
        <v>1</v>
      </c>
      <c r="X3">
        <v>0</v>
      </c>
      <c r="Y3">
        <v>1</v>
      </c>
    </row>
    <row r="4" spans="1:27" x14ac:dyDescent="0.25">
      <c r="A4" s="78"/>
      <c r="B4" s="78"/>
      <c r="C4" s="78" t="str">
        <f>IFERROR(VLOOKUP($B4,Tb_ProjectKosten[],4,0),"")</f>
        <v/>
      </c>
      <c r="D4" s="105" t="str" cm="1">
        <f t="array" ref="D4">IFERROR(INDEX(Tb_KostenOpties[],MATCH(B4,Tb_KostenOpties[KostenOptie],0),IFERROR(MATCH(Methode_Keuze,Tb_KostenOpties[#Headers],0),2)),"")</f>
        <v/>
      </c>
      <c r="E4" s="117">
        <f>IFERROR(VLOOKUP(B4,Tb_ProjectKosten[[#All],[KostenOmschrijving]:[Forfat_Percentage]],6,0),0)</f>
        <v>0</v>
      </c>
      <c r="F4" s="115">
        <f>SUMIFS('5. Kosten uitvoering project'!P:P,'5. Kosten uitvoering project'!E:E,SubsidieTabel!A4,'5. Kosten uitvoering project'!F:F,SubsidieTabel!B4)</f>
        <v>0</v>
      </c>
      <c r="G4" s="115">
        <f>SUMIFS('5. Kosten uitvoering project'!Q:Q,'5. Kosten uitvoering project'!E:E,SubsidieTabel!A4,'5. Kosten uitvoering project'!F:F,SubsidieTabel!B4)</f>
        <v>0</v>
      </c>
      <c r="H4" s="115">
        <f>SUMIFS('5. Kosten uitvoering project'!R:R,'5. Kosten uitvoering project'!E:E,SubsidieTabel!A4,'5. Kosten uitvoering project'!F:F,SubsidieTabel!B4)</f>
        <v>0</v>
      </c>
      <c r="I4" s="115">
        <f>SUMIFS('5. Kosten uitvoering project'!S:S,'5. Kosten uitvoering project'!E:E,SubsidieTabel!A4,'5. Kosten uitvoering project'!F:F,SubsidieTabel!B4)</f>
        <v>0</v>
      </c>
      <c r="J4" s="115">
        <f t="shared" si="0"/>
        <v>0</v>
      </c>
      <c r="K4" s="115">
        <f t="shared" si="1"/>
        <v>0</v>
      </c>
      <c r="L4" s="117" t="str">
        <f>IFERROR(VLOOKUP(A4,Lijsten!$AD:$AE,2,0),"")</f>
        <v/>
      </c>
      <c r="M4" s="115">
        <f>IFERROR($L4*(F4+H4),0)</f>
        <v>0</v>
      </c>
      <c r="N4" s="115">
        <f t="shared" si="3"/>
        <v>0</v>
      </c>
      <c r="Q4" s="18" t="s">
        <v>28</v>
      </c>
      <c r="R4">
        <v>1</v>
      </c>
      <c r="S4">
        <v>1</v>
      </c>
      <c r="T4">
        <v>0</v>
      </c>
      <c r="V4" s="18" t="s">
        <v>28</v>
      </c>
      <c r="W4">
        <v>1</v>
      </c>
      <c r="X4">
        <v>1</v>
      </c>
      <c r="Y4">
        <v>0</v>
      </c>
    </row>
    <row r="5" spans="1:27" x14ac:dyDescent="0.25">
      <c r="A5" s="18"/>
      <c r="B5" s="18"/>
      <c r="C5" s="18" t="str">
        <f>IFERROR(VLOOKUP($B5,Tb_ProjectKosten[],4,0),"")</f>
        <v/>
      </c>
      <c r="D5" s="106" t="str" cm="1">
        <f t="array" ref="D5">IFERROR(INDEX(Tb_KostenOpties[],MATCH(B5,Tb_KostenOpties[KostenOptie],0),IFERROR(MATCH(Methode_Keuze,Tb_KostenOpties[#Headers],0),2)),"")</f>
        <v/>
      </c>
      <c r="E5" s="118">
        <f>IFERROR(VLOOKUP(B5,Tb_ProjectKosten[[#All],[KostenOmschrijving]:[Forfat_Percentage]],6,0),0)</f>
        <v>0</v>
      </c>
      <c r="F5" s="116">
        <f>SUMIFS('5. Kosten uitvoering project'!P:P,'5. Kosten uitvoering project'!E:E,SubsidieTabel!A5,'5. Kosten uitvoering project'!F:F,SubsidieTabel!B5)</f>
        <v>0</v>
      </c>
      <c r="G5" s="116">
        <f>SUMIFS('5. Kosten uitvoering project'!Q:Q,'5. Kosten uitvoering project'!E:E,SubsidieTabel!A5,'5. Kosten uitvoering project'!F:F,SubsidieTabel!B5)</f>
        <v>0</v>
      </c>
      <c r="H5" s="116">
        <f>SUMIFS('5. Kosten uitvoering project'!R:R,'5. Kosten uitvoering project'!E:E,SubsidieTabel!A5,'5. Kosten uitvoering project'!F:F,SubsidieTabel!B5)</f>
        <v>0</v>
      </c>
      <c r="I5" s="116">
        <f>SUMIFS('5. Kosten uitvoering project'!S:S,'5. Kosten uitvoering project'!E:E,SubsidieTabel!A5,'5. Kosten uitvoering project'!F:F,SubsidieTabel!B5)</f>
        <v>0</v>
      </c>
      <c r="J5" s="116">
        <f t="shared" si="0"/>
        <v>0</v>
      </c>
      <c r="K5" s="116">
        <f t="shared" si="1"/>
        <v>0</v>
      </c>
      <c r="L5" s="118" t="str">
        <f>IFERROR(VLOOKUP(A5,Lijsten!$AD:$AE,2,0),"")</f>
        <v/>
      </c>
      <c r="M5" s="116">
        <f t="shared" si="2"/>
        <v>0</v>
      </c>
      <c r="N5" s="116">
        <f t="shared" si="3"/>
        <v>0</v>
      </c>
      <c r="Q5" s="18" t="s">
        <v>27</v>
      </c>
      <c r="R5">
        <v>1</v>
      </c>
      <c r="S5">
        <v>1</v>
      </c>
      <c r="T5">
        <v>0</v>
      </c>
      <c r="V5" s="18" t="s">
        <v>27</v>
      </c>
      <c r="W5">
        <v>1</v>
      </c>
      <c r="X5">
        <v>1</v>
      </c>
      <c r="Y5">
        <v>0</v>
      </c>
    </row>
    <row r="6" spans="1:27" x14ac:dyDescent="0.25">
      <c r="A6" s="78"/>
      <c r="B6" s="78"/>
      <c r="C6" s="78" t="str">
        <f>IFERROR(VLOOKUP($B6,Tb_ProjectKosten[],4,0),"")</f>
        <v/>
      </c>
      <c r="D6" s="105" t="str" cm="1">
        <f t="array" ref="D6">IFERROR(INDEX(Tb_KostenOpties[],MATCH(B6,Tb_KostenOpties[KostenOptie],0),IFERROR(MATCH(Methode_Keuze,Tb_KostenOpties[#Headers],0),2)),"")</f>
        <v/>
      </c>
      <c r="E6" s="117">
        <f>IFERROR(VLOOKUP(B6,Tb_ProjectKosten[[#All],[KostenOmschrijving]:[Forfat_Percentage]],6,0),0)</f>
        <v>0</v>
      </c>
      <c r="F6" s="115">
        <f>SUMIFS('5. Kosten uitvoering project'!P:P,'5. Kosten uitvoering project'!E:E,SubsidieTabel!A6,'5. Kosten uitvoering project'!F:F,SubsidieTabel!B6)</f>
        <v>0</v>
      </c>
      <c r="G6" s="115">
        <f>SUMIFS('5. Kosten uitvoering project'!Q:Q,'5. Kosten uitvoering project'!E:E,SubsidieTabel!A6,'5. Kosten uitvoering project'!F:F,SubsidieTabel!B6)</f>
        <v>0</v>
      </c>
      <c r="H6" s="115">
        <f>SUMIFS('5. Kosten uitvoering project'!R:R,'5. Kosten uitvoering project'!E:E,SubsidieTabel!A6,'5. Kosten uitvoering project'!F:F,SubsidieTabel!B6)</f>
        <v>0</v>
      </c>
      <c r="I6" s="115">
        <f>SUMIFS('5. Kosten uitvoering project'!S:S,'5. Kosten uitvoering project'!E:E,SubsidieTabel!A6,'5. Kosten uitvoering project'!F:F,SubsidieTabel!B6)</f>
        <v>0</v>
      </c>
      <c r="J6" s="115">
        <f t="shared" si="0"/>
        <v>0</v>
      </c>
      <c r="K6" s="115">
        <f t="shared" si="1"/>
        <v>0</v>
      </c>
      <c r="L6" s="117" t="str">
        <f>IFERROR(VLOOKUP(A6,Lijsten!$AD:$AE,2,0),"")</f>
        <v/>
      </c>
      <c r="M6" s="115">
        <f t="shared" si="2"/>
        <v>0</v>
      </c>
      <c r="N6" s="115">
        <f t="shared" si="3"/>
        <v>0</v>
      </c>
      <c r="Q6" s="18" t="s">
        <v>11</v>
      </c>
      <c r="R6">
        <v>1</v>
      </c>
      <c r="S6">
        <v>1</v>
      </c>
      <c r="T6">
        <v>0</v>
      </c>
      <c r="V6" s="18" t="s">
        <v>11</v>
      </c>
      <c r="W6">
        <v>1</v>
      </c>
      <c r="X6">
        <v>1</v>
      </c>
      <c r="Y6">
        <v>0</v>
      </c>
    </row>
    <row r="7" spans="1:27" x14ac:dyDescent="0.25">
      <c r="A7" s="18"/>
      <c r="B7" s="18"/>
      <c r="C7" s="18" t="str">
        <f>IFERROR(VLOOKUP($B7,Tb_ProjectKosten[],4,0),"")</f>
        <v/>
      </c>
      <c r="D7" s="106" t="str" cm="1">
        <f t="array" ref="D7">IFERROR(INDEX(Tb_KostenOpties[],MATCH(B7,Tb_KostenOpties[KostenOptie],0),IFERROR(MATCH(Methode_Keuze,Tb_KostenOpties[#Headers],0),2)),"")</f>
        <v/>
      </c>
      <c r="E7" s="118">
        <f>IFERROR(VLOOKUP(B7,Tb_ProjectKosten[[#All],[KostenOmschrijving]:[Forfat_Percentage]],6,0),0)</f>
        <v>0</v>
      </c>
      <c r="F7" s="116">
        <f>SUMIFS('5. Kosten uitvoering project'!P:P,'5. Kosten uitvoering project'!E:E,SubsidieTabel!A7,'5. Kosten uitvoering project'!F:F,SubsidieTabel!B7)</f>
        <v>0</v>
      </c>
      <c r="G7" s="116">
        <f>SUMIFS('5. Kosten uitvoering project'!Q:Q,'5. Kosten uitvoering project'!E:E,SubsidieTabel!A7,'5. Kosten uitvoering project'!F:F,SubsidieTabel!B7)</f>
        <v>0</v>
      </c>
      <c r="H7" s="116">
        <f>SUMIFS('5. Kosten uitvoering project'!R:R,'5. Kosten uitvoering project'!E:E,SubsidieTabel!A7,'5. Kosten uitvoering project'!F:F,SubsidieTabel!B7)</f>
        <v>0</v>
      </c>
      <c r="I7" s="116">
        <f>SUMIFS('5. Kosten uitvoering project'!S:S,'5. Kosten uitvoering project'!E:E,SubsidieTabel!A7,'5. Kosten uitvoering project'!F:F,SubsidieTabel!B7)</f>
        <v>0</v>
      </c>
      <c r="J7" s="116">
        <f t="shared" si="0"/>
        <v>0</v>
      </c>
      <c r="K7" s="116">
        <f t="shared" si="1"/>
        <v>0</v>
      </c>
      <c r="L7" s="118" t="str">
        <f>IFERROR(VLOOKUP(A7,Lijsten!$AD:$AE,2,0),"")</f>
        <v/>
      </c>
      <c r="M7" s="116">
        <f t="shared" si="2"/>
        <v>0</v>
      </c>
      <c r="N7" s="116">
        <f t="shared" si="3"/>
        <v>0</v>
      </c>
      <c r="Q7" s="18" t="s">
        <v>107</v>
      </c>
      <c r="R7">
        <v>1</v>
      </c>
      <c r="S7">
        <v>1</v>
      </c>
      <c r="T7">
        <v>0</v>
      </c>
      <c r="V7" s="18" t="s">
        <v>107</v>
      </c>
      <c r="W7">
        <v>1</v>
      </c>
      <c r="X7">
        <v>1</v>
      </c>
      <c r="Y7">
        <v>0</v>
      </c>
    </row>
    <row r="8" spans="1:27" x14ac:dyDescent="0.25">
      <c r="A8" s="78"/>
      <c r="B8" s="78"/>
      <c r="C8" s="78" t="str">
        <f>IFERROR(VLOOKUP($B8,Tb_ProjectKosten[],4,0),"")</f>
        <v/>
      </c>
      <c r="D8" s="105" t="str" cm="1">
        <f t="array" ref="D8">IFERROR(INDEX(Tb_KostenOpties[],MATCH(B8,Tb_KostenOpties[KostenOptie],0),IFERROR(MATCH(Methode_Keuze,Tb_KostenOpties[#Headers],0),2)),"")</f>
        <v/>
      </c>
      <c r="E8" s="117">
        <f>IFERROR(VLOOKUP(B8,Tb_ProjectKosten[[#All],[KostenOmschrijving]:[Forfat_Percentage]],6,0),0)</f>
        <v>0</v>
      </c>
      <c r="F8" s="115">
        <f>SUMIFS('5. Kosten uitvoering project'!P:P,'5. Kosten uitvoering project'!E:E,SubsidieTabel!A8,'5. Kosten uitvoering project'!F:F,SubsidieTabel!B8)</f>
        <v>0</v>
      </c>
      <c r="G8" s="115">
        <f>SUMIFS('5. Kosten uitvoering project'!Q:Q,'5. Kosten uitvoering project'!E:E,SubsidieTabel!A8,'5. Kosten uitvoering project'!F:F,SubsidieTabel!B8)</f>
        <v>0</v>
      </c>
      <c r="H8" s="115">
        <f>SUMIFS('5. Kosten uitvoering project'!R:R,'5. Kosten uitvoering project'!E:E,SubsidieTabel!A8,'5. Kosten uitvoering project'!F:F,SubsidieTabel!B8)</f>
        <v>0</v>
      </c>
      <c r="I8" s="115">
        <f>SUMIFS('5. Kosten uitvoering project'!S:S,'5. Kosten uitvoering project'!E:E,SubsidieTabel!A8,'5. Kosten uitvoering project'!F:F,SubsidieTabel!B8)</f>
        <v>0</v>
      </c>
      <c r="J8" s="115">
        <f t="shared" si="0"/>
        <v>0</v>
      </c>
      <c r="K8" s="115">
        <f t="shared" si="1"/>
        <v>0</v>
      </c>
      <c r="L8" s="117" t="str">
        <f>IFERROR(VLOOKUP(A8,Lijsten!$AD:$AE,2,0),"")</f>
        <v/>
      </c>
      <c r="M8" s="115">
        <f t="shared" si="2"/>
        <v>0</v>
      </c>
      <c r="N8" s="115">
        <f t="shared" si="3"/>
        <v>0</v>
      </c>
      <c r="Q8" s="18" t="s">
        <v>106</v>
      </c>
      <c r="R8">
        <v>1</v>
      </c>
      <c r="S8">
        <v>1</v>
      </c>
      <c r="T8">
        <v>0</v>
      </c>
      <c r="V8" s="18" t="s">
        <v>106</v>
      </c>
      <c r="W8">
        <v>1</v>
      </c>
      <c r="X8">
        <v>1</v>
      </c>
      <c r="Y8">
        <v>0</v>
      </c>
    </row>
    <row r="9" spans="1:27" x14ac:dyDescent="0.25">
      <c r="A9" s="18"/>
      <c r="B9" s="18"/>
      <c r="C9" s="18" t="str">
        <f>IFERROR(VLOOKUP($B9,Tb_ProjectKosten[],4,0),"")</f>
        <v/>
      </c>
      <c r="D9" s="106" t="str" cm="1">
        <f t="array" ref="D9">IFERROR(INDEX(Tb_KostenOpties[],MATCH(B9,Tb_KostenOpties[KostenOptie],0),IFERROR(MATCH(Methode_Keuze,Tb_KostenOpties[#Headers],0),2)),"")</f>
        <v/>
      </c>
      <c r="E9" s="118">
        <f>IFERROR(VLOOKUP(B9,Tb_ProjectKosten[[#All],[KostenOmschrijving]:[Forfat_Percentage]],6,0),0)</f>
        <v>0</v>
      </c>
      <c r="F9" s="116">
        <f>SUMIFS('5. Kosten uitvoering project'!P:P,'5. Kosten uitvoering project'!E:E,SubsidieTabel!A9,'5. Kosten uitvoering project'!F:F,SubsidieTabel!B9)</f>
        <v>0</v>
      </c>
      <c r="G9" s="116">
        <f>SUMIFS('5. Kosten uitvoering project'!Q:Q,'5. Kosten uitvoering project'!E:E,SubsidieTabel!A9,'5. Kosten uitvoering project'!F:F,SubsidieTabel!B9)</f>
        <v>0</v>
      </c>
      <c r="H9" s="116">
        <f>SUMIFS('5. Kosten uitvoering project'!R:R,'5. Kosten uitvoering project'!E:E,SubsidieTabel!A9,'5. Kosten uitvoering project'!F:F,SubsidieTabel!B9)</f>
        <v>0</v>
      </c>
      <c r="I9" s="116">
        <f>SUMIFS('5. Kosten uitvoering project'!S:S,'5. Kosten uitvoering project'!E:E,SubsidieTabel!A9,'5. Kosten uitvoering project'!F:F,SubsidieTabel!B9)</f>
        <v>0</v>
      </c>
      <c r="J9" s="116">
        <f t="shared" si="0"/>
        <v>0</v>
      </c>
      <c r="K9" s="116">
        <f t="shared" si="1"/>
        <v>0</v>
      </c>
      <c r="L9" s="118" t="str">
        <f>IFERROR(VLOOKUP(A9,Lijsten!$AD:$AE,2,0),"")</f>
        <v/>
      </c>
      <c r="M9" s="116">
        <f t="shared" si="2"/>
        <v>0</v>
      </c>
      <c r="N9" s="116">
        <f t="shared" si="3"/>
        <v>0</v>
      </c>
      <c r="Q9" s="77" t="s">
        <v>3</v>
      </c>
      <c r="R9">
        <v>1</v>
      </c>
      <c r="S9">
        <v>1</v>
      </c>
      <c r="T9">
        <v>0</v>
      </c>
      <c r="V9" s="77" t="s">
        <v>3</v>
      </c>
      <c r="W9">
        <v>1</v>
      </c>
      <c r="X9">
        <v>1</v>
      </c>
      <c r="Y9">
        <v>0</v>
      </c>
    </row>
    <row r="10" spans="1:27" x14ac:dyDescent="0.25">
      <c r="A10" s="78"/>
      <c r="B10" s="78"/>
      <c r="C10" s="78" t="str">
        <f>IFERROR(VLOOKUP($B10,Tb_ProjectKosten[],4,0),"")</f>
        <v/>
      </c>
      <c r="D10" s="105" t="str" cm="1">
        <f t="array" ref="D10">IFERROR(INDEX(Tb_KostenOpties[],MATCH(B10,Tb_KostenOpties[KostenOptie],0),IFERROR(MATCH(Methode_Keuze,Tb_KostenOpties[#Headers],0),2)),"")</f>
        <v/>
      </c>
      <c r="E10" s="117">
        <f>IFERROR(VLOOKUP(B10,Tb_ProjectKosten[[#All],[KostenOmschrijving]:[Forfat_Percentage]],6,0),0)</f>
        <v>0</v>
      </c>
      <c r="F10" s="115">
        <f>SUMIFS('5. Kosten uitvoering project'!P:P,'5. Kosten uitvoering project'!E:E,SubsidieTabel!A10,'5. Kosten uitvoering project'!F:F,SubsidieTabel!B10)</f>
        <v>0</v>
      </c>
      <c r="G10" s="115">
        <f>SUMIFS('5. Kosten uitvoering project'!Q:Q,'5. Kosten uitvoering project'!E:E,SubsidieTabel!A10,'5. Kosten uitvoering project'!F:F,SubsidieTabel!B10)</f>
        <v>0</v>
      </c>
      <c r="H10" s="115">
        <f>SUMIFS('5. Kosten uitvoering project'!R:R,'5. Kosten uitvoering project'!E:E,SubsidieTabel!A10,'5. Kosten uitvoering project'!F:F,SubsidieTabel!B10)</f>
        <v>0</v>
      </c>
      <c r="I10" s="115">
        <f>SUMIFS('5. Kosten uitvoering project'!S:S,'5. Kosten uitvoering project'!E:E,SubsidieTabel!A10,'5. Kosten uitvoering project'!F:F,SubsidieTabel!B10)</f>
        <v>0</v>
      </c>
      <c r="J10" s="115">
        <f t="shared" si="0"/>
        <v>0</v>
      </c>
      <c r="K10" s="115">
        <f t="shared" si="1"/>
        <v>0</v>
      </c>
      <c r="L10" s="117" t="str">
        <f>IFERROR(VLOOKUP(A10,Lijsten!$AD:$AE,2,0),"")</f>
        <v/>
      </c>
      <c r="M10" s="115">
        <f t="shared" si="2"/>
        <v>0</v>
      </c>
      <c r="N10" s="115">
        <f t="shared" si="3"/>
        <v>0</v>
      </c>
    </row>
    <row r="11" spans="1:27" x14ac:dyDescent="0.25">
      <c r="A11" s="18"/>
      <c r="B11" s="18"/>
      <c r="C11" s="18" t="str">
        <f>IFERROR(VLOOKUP($B11,Tb_ProjectKosten[],4,0),"")</f>
        <v/>
      </c>
      <c r="D11" s="106" t="str" cm="1">
        <f t="array" ref="D11">IFERROR(INDEX(Tb_KostenOpties[],MATCH(B11,Tb_KostenOpties[KostenOptie],0),IFERROR(MATCH(Methode_Keuze,Tb_KostenOpties[#Headers],0),2)),"")</f>
        <v/>
      </c>
      <c r="E11" s="118">
        <f>IFERROR(VLOOKUP(B11,Tb_ProjectKosten[[#All],[KostenOmschrijving]:[Forfat_Percentage]],6,0),0)</f>
        <v>0</v>
      </c>
      <c r="F11" s="116">
        <f>SUMIFS('5. Kosten uitvoering project'!P:P,'5. Kosten uitvoering project'!E:E,SubsidieTabel!A11,'5. Kosten uitvoering project'!F:F,SubsidieTabel!B11)</f>
        <v>0</v>
      </c>
      <c r="G11" s="116">
        <f>SUMIFS('5. Kosten uitvoering project'!Q:Q,'5. Kosten uitvoering project'!E:E,SubsidieTabel!A11,'5. Kosten uitvoering project'!F:F,SubsidieTabel!B11)</f>
        <v>0</v>
      </c>
      <c r="H11" s="116">
        <f>SUMIFS('5. Kosten uitvoering project'!R:R,'5. Kosten uitvoering project'!E:E,SubsidieTabel!A11,'5. Kosten uitvoering project'!F:F,SubsidieTabel!B11)</f>
        <v>0</v>
      </c>
      <c r="I11" s="116">
        <f>SUMIFS('5. Kosten uitvoering project'!S:S,'5. Kosten uitvoering project'!E:E,SubsidieTabel!A11,'5. Kosten uitvoering project'!F:F,SubsidieTabel!B11)</f>
        <v>0</v>
      </c>
      <c r="J11" s="116">
        <f t="shared" si="0"/>
        <v>0</v>
      </c>
      <c r="K11" s="116">
        <f t="shared" si="1"/>
        <v>0</v>
      </c>
      <c r="L11" s="118" t="str">
        <f>IFERROR(VLOOKUP(A11,Lijsten!$AD:$AE,2,0),"")</f>
        <v/>
      </c>
      <c r="M11" s="116">
        <f t="shared" si="2"/>
        <v>0</v>
      </c>
      <c r="N11" s="116">
        <f t="shared" si="3"/>
        <v>0</v>
      </c>
      <c r="Q11" t="s">
        <v>92</v>
      </c>
      <c r="R11" t="s">
        <v>93</v>
      </c>
      <c r="S11" t="s">
        <v>94</v>
      </c>
      <c r="T11" t="s">
        <v>95</v>
      </c>
      <c r="U11" t="s">
        <v>40</v>
      </c>
      <c r="V11" t="s">
        <v>96</v>
      </c>
      <c r="W11" t="s">
        <v>97</v>
      </c>
      <c r="X11" t="s">
        <v>98</v>
      </c>
      <c r="Y11" t="s">
        <v>193</v>
      </c>
      <c r="Z11" t="s">
        <v>194</v>
      </c>
      <c r="AA11" t="s">
        <v>56</v>
      </c>
    </row>
    <row r="12" spans="1:27" x14ac:dyDescent="0.25">
      <c r="A12" s="78"/>
      <c r="B12" s="78"/>
      <c r="C12" s="78" t="str">
        <f>IFERROR(VLOOKUP($B12,Tb_ProjectKosten[],4,0),"")</f>
        <v/>
      </c>
      <c r="D12" s="105" t="str" cm="1">
        <f t="array" ref="D12">IFERROR(INDEX(Tb_KostenOpties[],MATCH(B12,Tb_KostenOpties[KostenOptie],0),IFERROR(MATCH(Methode_Keuze,Tb_KostenOpties[#Headers],0),2)),"")</f>
        <v/>
      </c>
      <c r="E12" s="117">
        <f>IFERROR(VLOOKUP(B12,Tb_ProjectKosten[[#All],[KostenOmschrijving]:[Forfat_Percentage]],6,0),0)</f>
        <v>0</v>
      </c>
      <c r="F12" s="115">
        <f>SUMIFS('5. Kosten uitvoering project'!P:P,'5. Kosten uitvoering project'!E:E,SubsidieTabel!A12,'5. Kosten uitvoering project'!F:F,SubsidieTabel!B12)</f>
        <v>0</v>
      </c>
      <c r="G12" s="115">
        <f>SUMIFS('5. Kosten uitvoering project'!Q:Q,'5. Kosten uitvoering project'!E:E,SubsidieTabel!A12,'5. Kosten uitvoering project'!F:F,SubsidieTabel!B12)</f>
        <v>0</v>
      </c>
      <c r="H12" s="115">
        <f>SUMIFS('5. Kosten uitvoering project'!R:R,'5. Kosten uitvoering project'!E:E,SubsidieTabel!A12,'5. Kosten uitvoering project'!F:F,SubsidieTabel!B12)</f>
        <v>0</v>
      </c>
      <c r="I12" s="115">
        <f>SUMIFS('5. Kosten uitvoering project'!S:S,'5. Kosten uitvoering project'!E:E,SubsidieTabel!A12,'5. Kosten uitvoering project'!F:F,SubsidieTabel!B12)</f>
        <v>0</v>
      </c>
      <c r="J12" s="115">
        <f t="shared" si="0"/>
        <v>0</v>
      </c>
      <c r="K12" s="115">
        <f t="shared" si="1"/>
        <v>0</v>
      </c>
      <c r="L12" s="117" t="str">
        <f>IFERROR(VLOOKUP(A12,Lijsten!$AD:$AE,2,0),"")</f>
        <v/>
      </c>
      <c r="M12" s="115">
        <f t="shared" si="2"/>
        <v>0</v>
      </c>
      <c r="N12" s="115">
        <f t="shared" si="3"/>
        <v>0</v>
      </c>
      <c r="Q12" s="18" t="s">
        <v>8</v>
      </c>
      <c r="R12" s="79">
        <f>IF(Tb_ProjectKosten[[#This Row],[Forfait]]=1,SUMIF('5. Kosten uitvoering project'!$F$6:$F$105,Tb_ProjectKosten[[#This Row],[KostenOmschrijving]],'5. Kosten uitvoering project'!$P$6:$P$105),0)</f>
        <v>0</v>
      </c>
      <c r="S12" s="79">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0">
        <v>0.4</v>
      </c>
      <c r="W12" s="79">
        <f>SUMIF('5. Kosten uitvoering project'!$F:$F,Tb_ProjectKosten[[#This Row],[Begroting]],'5. Kosten uitvoering project'!R:R)</f>
        <v>0</v>
      </c>
      <c r="X12" s="79">
        <f>SUMIF('5. Kosten uitvoering project'!$F:$F,Tb_ProjectKosten[[#This Row],[Begroting]],'5. Kosten uitvoering project'!S:S)</f>
        <v>0</v>
      </c>
      <c r="Y12" s="79">
        <f>Tb_ProjectKosten[[#This Row],[Kosten_Aanvraag]]+Tb_ProjectKosten[[#This Row],[Forfait_Bedrag]]</f>
        <v>0</v>
      </c>
      <c r="Z12" s="79">
        <f>Tb_ProjectKosten[[#This Row],[Kosten_Beoordeeld]]+Tb_ProjectKosten[[#This Row],[Forfait_Bedrag_Beoordeeld]]</f>
        <v>0</v>
      </c>
      <c r="AA12" t="str">
        <f>IF(Tb_ProjectKosten[[#This Row],[Forfait]]=0,"Dit kostentype hoeft u niet op te geven. Hiervoor wordt een forfait berekend.","")</f>
        <v/>
      </c>
    </row>
    <row r="13" spans="1:27" x14ac:dyDescent="0.25">
      <c r="A13" s="18"/>
      <c r="B13" s="18"/>
      <c r="C13" s="18" t="str">
        <f>IFERROR(VLOOKUP($B13,Tb_ProjectKosten[],4,0),"")</f>
        <v/>
      </c>
      <c r="D13" s="106" t="str" cm="1">
        <f t="array" ref="D13">IFERROR(INDEX(Tb_KostenOpties[],MATCH(B13,Tb_KostenOpties[KostenOptie],0),IFERROR(MATCH(Methode_Keuze,Tb_KostenOpties[#Headers],0),2)),"")</f>
        <v/>
      </c>
      <c r="E13" s="118">
        <f>IFERROR(VLOOKUP(B13,Tb_ProjectKosten[[#All],[KostenOmschrijving]:[Forfat_Percentage]],6,0),0)</f>
        <v>0</v>
      </c>
      <c r="F13" s="116">
        <f>SUMIFS('5. Kosten uitvoering project'!P:P,'5. Kosten uitvoering project'!E:E,SubsidieTabel!A13,'5. Kosten uitvoering project'!F:F,SubsidieTabel!B13)</f>
        <v>0</v>
      </c>
      <c r="G13" s="116">
        <f>SUMIFS('5. Kosten uitvoering project'!Q:Q,'5. Kosten uitvoering project'!E:E,SubsidieTabel!A13,'5. Kosten uitvoering project'!F:F,SubsidieTabel!B13)</f>
        <v>0</v>
      </c>
      <c r="H13" s="116">
        <f>SUMIFS('5. Kosten uitvoering project'!R:R,'5. Kosten uitvoering project'!E:E,SubsidieTabel!A13,'5. Kosten uitvoering project'!F:F,SubsidieTabel!B13)</f>
        <v>0</v>
      </c>
      <c r="I13" s="116">
        <f>SUMIFS('5. Kosten uitvoering project'!S:S,'5. Kosten uitvoering project'!E:E,SubsidieTabel!A13,'5. Kosten uitvoering project'!F:F,SubsidieTabel!B13)</f>
        <v>0</v>
      </c>
      <c r="J13" s="116">
        <f t="shared" si="0"/>
        <v>0</v>
      </c>
      <c r="K13" s="116">
        <f t="shared" si="1"/>
        <v>0</v>
      </c>
      <c r="L13" s="118" t="str">
        <f>IFERROR(VLOOKUP(A13,Lijsten!$AD:$AE,2,0),"")</f>
        <v/>
      </c>
      <c r="M13" s="116">
        <f t="shared" si="2"/>
        <v>0</v>
      </c>
      <c r="N13" s="116">
        <f t="shared" si="3"/>
        <v>0</v>
      </c>
      <c r="Q13" s="18" t="s">
        <v>91</v>
      </c>
      <c r="R13" s="79">
        <f>IF(Tb_ProjectKosten[[#This Row],[Forfait]]=1,SUMIF('5. Kosten uitvoering project'!$F$6:$F$105,Tb_ProjectKosten[[#This Row],[KostenOmschrijving]],'5. Kosten uitvoering project'!$P$6:$P$105),0)</f>
        <v>0</v>
      </c>
      <c r="S13" s="79">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0">
        <v>0</v>
      </c>
      <c r="W13" s="79">
        <f>SUMIF('5. Kosten uitvoering project'!$F:$F,Tb_ProjectKosten[[#This Row],[Begroting]],'5. Kosten uitvoering project'!R:R)</f>
        <v>0</v>
      </c>
      <c r="X13" s="79">
        <f>SUMIF('5. Kosten uitvoering project'!$F:$F,Tb_ProjectKosten[[#This Row],[Begroting]],'5. Kosten uitvoering project'!S:S)</f>
        <v>0</v>
      </c>
      <c r="Y13" s="79">
        <f>Tb_ProjectKosten[[#This Row],[Kosten_Aanvraag]]+Tb_ProjectKosten[[#This Row],[Forfait_Bedrag]]</f>
        <v>0</v>
      </c>
      <c r="Z13" s="79">
        <f>Tb_ProjectKosten[[#This Row],[Kosten_Beoordeeld]]+Tb_ProjectKosten[[#This Row],[Forfait_Bedrag_Beoordeeld]]</f>
        <v>0</v>
      </c>
      <c r="AA13" t="str">
        <f>IF(Tb_ProjectKosten[[#This Row],[Forfait]]=0,"Dit kostentype hoeft u niet op te geven. Hiervoor wordt een forfait berekend.","")</f>
        <v/>
      </c>
    </row>
    <row r="14" spans="1:27" x14ac:dyDescent="0.25">
      <c r="A14" s="78"/>
      <c r="B14" s="78"/>
      <c r="C14" s="78" t="str">
        <f>IFERROR(VLOOKUP($B14,Tb_ProjectKosten[],4,0),"")</f>
        <v/>
      </c>
      <c r="D14" s="105" t="str" cm="1">
        <f t="array" ref="D14">IFERROR(INDEX(Tb_KostenOpties[],MATCH(B14,Tb_KostenOpties[KostenOptie],0),IFERROR(MATCH(Methode_Keuze,Tb_KostenOpties[#Headers],0),2)),"")</f>
        <v/>
      </c>
      <c r="E14" s="117">
        <f>IFERROR(VLOOKUP(B14,Tb_ProjectKosten[[#All],[KostenOmschrijving]:[Forfat_Percentage]],6,0),0)</f>
        <v>0</v>
      </c>
      <c r="F14" s="115">
        <f>SUMIFS('5. Kosten uitvoering project'!P:P,'5. Kosten uitvoering project'!E:E,SubsidieTabel!A14,'5. Kosten uitvoering project'!F:F,SubsidieTabel!B14)</f>
        <v>0</v>
      </c>
      <c r="G14" s="115">
        <f>SUMIFS('5. Kosten uitvoering project'!Q:Q,'5. Kosten uitvoering project'!E:E,SubsidieTabel!A14,'5. Kosten uitvoering project'!F:F,SubsidieTabel!B14)</f>
        <v>0</v>
      </c>
      <c r="H14" s="115">
        <f>SUMIFS('5. Kosten uitvoering project'!R:R,'5. Kosten uitvoering project'!E:E,SubsidieTabel!A14,'5. Kosten uitvoering project'!F:F,SubsidieTabel!B14)</f>
        <v>0</v>
      </c>
      <c r="I14" s="115">
        <f>SUMIFS('5. Kosten uitvoering project'!S:S,'5. Kosten uitvoering project'!E:E,SubsidieTabel!A14,'5. Kosten uitvoering project'!F:F,SubsidieTabel!B14)</f>
        <v>0</v>
      </c>
      <c r="J14" s="115">
        <f t="shared" si="0"/>
        <v>0</v>
      </c>
      <c r="K14" s="115">
        <f t="shared" si="1"/>
        <v>0</v>
      </c>
      <c r="L14" s="117" t="str">
        <f>IFERROR(VLOOKUP(A14,Lijsten!$AD:$AE,2,0),"")</f>
        <v/>
      </c>
      <c r="M14" s="115">
        <f t="shared" si="2"/>
        <v>0</v>
      </c>
      <c r="N14" s="115">
        <f t="shared" si="3"/>
        <v>0</v>
      </c>
      <c r="Q14" s="18" t="s">
        <v>28</v>
      </c>
      <c r="R14" s="79">
        <f>IF(Tb_ProjectKosten[[#This Row],[Forfait]]=1,SUMIF('5. Kosten uitvoering project'!$F$6:$F$105,Tb_ProjectKosten[[#This Row],[KostenOmschrijving]],'5. Kosten uitvoering project'!$P$6:$P$105),0)</f>
        <v>0</v>
      </c>
      <c r="S14" s="79">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0">
        <v>0.23</v>
      </c>
      <c r="W14" s="79">
        <f>SUMIF('5. Kosten uitvoering project'!$F:$F,Tb_ProjectKosten[[#This Row],[Begroting]],'5. Kosten uitvoering project'!R:R)</f>
        <v>0</v>
      </c>
      <c r="X14" s="79">
        <f>SUMIF('5. Kosten uitvoering project'!$F:$F,Tb_ProjectKosten[[#This Row],[Begroting]],'5. Kosten uitvoering project'!S:S)</f>
        <v>0</v>
      </c>
      <c r="Y14" s="79">
        <f>Tb_ProjectKosten[[#This Row],[Kosten_Aanvraag]]+Tb_ProjectKosten[[#This Row],[Forfait_Bedrag]]</f>
        <v>0</v>
      </c>
      <c r="Z14" s="79">
        <f>Tb_ProjectKosten[[#This Row],[Kosten_Beoordeeld]]+Tb_ProjectKosten[[#This Row],[Forfait_Bedrag_Beoordeeld]]</f>
        <v>0</v>
      </c>
      <c r="AA14" t="str">
        <f>IF(Tb_ProjectKosten[[#This Row],[Forfait]]=0,"Dit kostentype hoeft u niet op te geven. Hiervoor wordt een forfait berekend.","")</f>
        <v/>
      </c>
    </row>
    <row r="15" spans="1:27" x14ac:dyDescent="0.25">
      <c r="A15" s="18"/>
      <c r="B15" s="18"/>
      <c r="C15" s="18" t="str">
        <f>IFERROR(VLOOKUP($B15,Tb_ProjectKosten[],4,0),"")</f>
        <v/>
      </c>
      <c r="D15" s="106" t="str" cm="1">
        <f t="array" ref="D15">IFERROR(INDEX(Tb_KostenOpties[],MATCH(B15,Tb_KostenOpties[KostenOptie],0),IFERROR(MATCH(Methode_Keuze,Tb_KostenOpties[#Headers],0),2)),"")</f>
        <v/>
      </c>
      <c r="E15" s="118">
        <f>IFERROR(VLOOKUP(B15,Tb_ProjectKosten[[#All],[KostenOmschrijving]:[Forfat_Percentage]],6,0),0)</f>
        <v>0</v>
      </c>
      <c r="F15" s="116">
        <f>SUMIFS('5. Kosten uitvoering project'!P:P,'5. Kosten uitvoering project'!E:E,SubsidieTabel!A15,'5. Kosten uitvoering project'!F:F,SubsidieTabel!B15)</f>
        <v>0</v>
      </c>
      <c r="G15" s="116">
        <f>SUMIFS('5. Kosten uitvoering project'!Q:Q,'5. Kosten uitvoering project'!E:E,SubsidieTabel!A15,'5. Kosten uitvoering project'!F:F,SubsidieTabel!B15)</f>
        <v>0</v>
      </c>
      <c r="H15" s="116">
        <f>SUMIFS('5. Kosten uitvoering project'!R:R,'5. Kosten uitvoering project'!E:E,SubsidieTabel!A15,'5. Kosten uitvoering project'!F:F,SubsidieTabel!B15)</f>
        <v>0</v>
      </c>
      <c r="I15" s="116">
        <f>SUMIFS('5. Kosten uitvoering project'!S:S,'5. Kosten uitvoering project'!E:E,SubsidieTabel!A15,'5. Kosten uitvoering project'!F:F,SubsidieTabel!B15)</f>
        <v>0</v>
      </c>
      <c r="J15" s="116">
        <f t="shared" si="0"/>
        <v>0</v>
      </c>
      <c r="K15" s="116">
        <f t="shared" si="1"/>
        <v>0</v>
      </c>
      <c r="L15" s="118" t="str">
        <f>IFERROR(VLOOKUP(A15,Lijsten!$AD:$AE,2,0),"")</f>
        <v/>
      </c>
      <c r="M15" s="116">
        <f t="shared" si="2"/>
        <v>0</v>
      </c>
      <c r="N15" s="116">
        <f t="shared" si="3"/>
        <v>0</v>
      </c>
      <c r="Q15" s="18" t="s">
        <v>27</v>
      </c>
      <c r="R15" s="79">
        <f>IF(Tb_ProjectKosten[[#This Row],[Forfait]]=1,SUMIF('5. Kosten uitvoering project'!$F$6:$F$105,Tb_ProjectKosten[[#This Row],[KostenOmschrijving]],'5. Kosten uitvoering project'!$P$6:$P$105),0)</f>
        <v>0</v>
      </c>
      <c r="S15" s="79">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0">
        <v>0.23</v>
      </c>
      <c r="W15" s="79">
        <f>SUMIF('5. Kosten uitvoering project'!$F:$F,Tb_ProjectKosten[[#This Row],[Begroting]],'5. Kosten uitvoering project'!R:R)</f>
        <v>0</v>
      </c>
      <c r="X15" s="79">
        <f>SUMIF('5. Kosten uitvoering project'!$F:$F,Tb_ProjectKosten[[#This Row],[Begroting]],'5. Kosten uitvoering project'!S:S)</f>
        <v>0</v>
      </c>
      <c r="Y15" s="79">
        <f>Tb_ProjectKosten[[#This Row],[Kosten_Aanvraag]]+Tb_ProjectKosten[[#This Row],[Forfait_Bedrag]]</f>
        <v>0</v>
      </c>
      <c r="Z15" s="79">
        <f>Tb_ProjectKosten[[#This Row],[Kosten_Beoordeeld]]+Tb_ProjectKosten[[#This Row],[Forfait_Bedrag_Beoordeeld]]</f>
        <v>0</v>
      </c>
      <c r="AA15" t="str">
        <f>IF(Tb_ProjectKosten[[#This Row],[Forfait]]=0,"Dit kostentype hoeft u niet op te geven. Hiervoor wordt een forfait berekend.","")</f>
        <v/>
      </c>
    </row>
    <row r="16" spans="1:27" x14ac:dyDescent="0.25">
      <c r="A16" s="78"/>
      <c r="B16" s="78"/>
      <c r="C16" s="78" t="str">
        <f>IFERROR(VLOOKUP($B16,Tb_ProjectKosten[],4,0),"")</f>
        <v/>
      </c>
      <c r="D16" s="105" t="str" cm="1">
        <f t="array" ref="D16">IFERROR(INDEX(Tb_KostenOpties[],MATCH(B16,Tb_KostenOpties[KostenOptie],0),IFERROR(MATCH(Methode_Keuze,Tb_KostenOpties[#Headers],0),2)),"")</f>
        <v/>
      </c>
      <c r="E16" s="117">
        <f>IFERROR(VLOOKUP(B16,Tb_ProjectKosten[[#All],[KostenOmschrijving]:[Forfat_Percentage]],6,0),0)</f>
        <v>0</v>
      </c>
      <c r="F16" s="115">
        <f>SUMIFS('5. Kosten uitvoering project'!P:P,'5. Kosten uitvoering project'!E:E,SubsidieTabel!A16,'5. Kosten uitvoering project'!F:F,SubsidieTabel!B16)</f>
        <v>0</v>
      </c>
      <c r="G16" s="115">
        <f>SUMIFS('5. Kosten uitvoering project'!Q:Q,'5. Kosten uitvoering project'!E:E,SubsidieTabel!A16,'5. Kosten uitvoering project'!F:F,SubsidieTabel!B16)</f>
        <v>0</v>
      </c>
      <c r="H16" s="115">
        <f>SUMIFS('5. Kosten uitvoering project'!R:R,'5. Kosten uitvoering project'!E:E,SubsidieTabel!A16,'5. Kosten uitvoering project'!F:F,SubsidieTabel!B16)</f>
        <v>0</v>
      </c>
      <c r="I16" s="115">
        <f>SUMIFS('5. Kosten uitvoering project'!S:S,'5. Kosten uitvoering project'!E:E,SubsidieTabel!A16,'5. Kosten uitvoering project'!F:F,SubsidieTabel!B16)</f>
        <v>0</v>
      </c>
      <c r="J16" s="115">
        <f t="shared" si="0"/>
        <v>0</v>
      </c>
      <c r="K16" s="115">
        <f t="shared" si="1"/>
        <v>0</v>
      </c>
      <c r="L16" s="117" t="str">
        <f>IFERROR(VLOOKUP(A16,Lijsten!$AD:$AE,2,0),"")</f>
        <v/>
      </c>
      <c r="M16" s="115">
        <f t="shared" si="2"/>
        <v>0</v>
      </c>
      <c r="N16" s="115">
        <f t="shared" si="3"/>
        <v>0</v>
      </c>
      <c r="Q16" s="18" t="s">
        <v>11</v>
      </c>
      <c r="R16" s="79">
        <f>IF(Tb_ProjectKosten[[#This Row],[Forfait]]=1,SUMIF('5. Kosten uitvoering project'!$F$6:$F$105,Tb_ProjectKosten[[#This Row],[KostenOmschrijving]],'5. Kosten uitvoering project'!$P$6:$P$105),0)</f>
        <v>0</v>
      </c>
      <c r="S16" s="79">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0">
        <v>0.23</v>
      </c>
      <c r="W16" s="79">
        <f>SUMIF('5. Kosten uitvoering project'!$F:$F,Tb_ProjectKosten[[#This Row],[Begroting]],'5. Kosten uitvoering project'!R:R)</f>
        <v>0</v>
      </c>
      <c r="X16" s="79">
        <f>SUMIF('5. Kosten uitvoering project'!$F:$F,Tb_ProjectKosten[[#This Row],[Begroting]],'5. Kosten uitvoering project'!S:S)</f>
        <v>0</v>
      </c>
      <c r="Y16" s="79">
        <f>Tb_ProjectKosten[[#This Row],[Kosten_Aanvraag]]+Tb_ProjectKosten[[#This Row],[Forfait_Bedrag]]</f>
        <v>0</v>
      </c>
      <c r="Z16" s="79">
        <f>Tb_ProjectKosten[[#This Row],[Kosten_Beoordeeld]]+Tb_ProjectKosten[[#This Row],[Forfait_Bedrag_Beoordeeld]]</f>
        <v>0</v>
      </c>
      <c r="AA16" t="str">
        <f>IF(Tb_ProjectKosten[[#This Row],[Forfait]]=0,"Dit kostentype hoeft u niet op te geven. Hiervoor wordt een forfait berekend.","")</f>
        <v/>
      </c>
    </row>
    <row r="17" spans="1:27" x14ac:dyDescent="0.25">
      <c r="A17" s="18"/>
      <c r="B17" s="18"/>
      <c r="C17" s="18" t="str">
        <f>IFERROR(VLOOKUP($B17,Tb_ProjectKosten[],4,0),"")</f>
        <v/>
      </c>
      <c r="D17" s="106" t="str" cm="1">
        <f t="array" ref="D17">IFERROR(INDEX(Tb_KostenOpties[],MATCH(B17,Tb_KostenOpties[KostenOptie],0),IFERROR(MATCH(Methode_Keuze,Tb_KostenOpties[#Headers],0),2)),"")</f>
        <v/>
      </c>
      <c r="E17" s="118">
        <f>IFERROR(VLOOKUP(B17,Tb_ProjectKosten[[#All],[KostenOmschrijving]:[Forfat_Percentage]],6,0),0)</f>
        <v>0</v>
      </c>
      <c r="F17" s="116">
        <f>SUMIFS('5. Kosten uitvoering project'!P:P,'5. Kosten uitvoering project'!E:E,SubsidieTabel!A17,'5. Kosten uitvoering project'!F:F,SubsidieTabel!B17)</f>
        <v>0</v>
      </c>
      <c r="G17" s="116">
        <f>SUMIFS('5. Kosten uitvoering project'!Q:Q,'5. Kosten uitvoering project'!E:E,SubsidieTabel!A17,'5. Kosten uitvoering project'!F:F,SubsidieTabel!B17)</f>
        <v>0</v>
      </c>
      <c r="H17" s="116">
        <f>SUMIFS('5. Kosten uitvoering project'!R:R,'5. Kosten uitvoering project'!E:E,SubsidieTabel!A17,'5. Kosten uitvoering project'!F:F,SubsidieTabel!B17)</f>
        <v>0</v>
      </c>
      <c r="I17" s="116">
        <f>SUMIFS('5. Kosten uitvoering project'!S:S,'5. Kosten uitvoering project'!E:E,SubsidieTabel!A17,'5. Kosten uitvoering project'!F:F,SubsidieTabel!B17)</f>
        <v>0</v>
      </c>
      <c r="J17" s="116">
        <f t="shared" si="0"/>
        <v>0</v>
      </c>
      <c r="K17" s="116">
        <f t="shared" si="1"/>
        <v>0</v>
      </c>
      <c r="L17" s="118" t="str">
        <f>IFERROR(VLOOKUP(A17,Lijsten!$AD:$AE,2,0),"")</f>
        <v/>
      </c>
      <c r="M17" s="116">
        <f t="shared" si="2"/>
        <v>0</v>
      </c>
      <c r="N17" s="116">
        <f t="shared" si="3"/>
        <v>0</v>
      </c>
      <c r="Q17" s="18" t="s">
        <v>107</v>
      </c>
      <c r="R17" s="79">
        <f>IF(Tb_ProjectKosten[[#This Row],[Forfait]]=1,SUMIF('5. Kosten uitvoering project'!$F$6:$F$105,Tb_ProjectKosten[[#This Row],[KostenOmschrijving]],'5. Kosten uitvoering project'!$P$6:$P$105),0)</f>
        <v>0</v>
      </c>
      <c r="S17" s="79">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0">
        <v>0.23</v>
      </c>
      <c r="W17" s="79">
        <f>SUMIF('5. Kosten uitvoering project'!$F:$F,Tb_ProjectKosten[[#This Row],[Begroting]],'5. Kosten uitvoering project'!R:R)</f>
        <v>0</v>
      </c>
      <c r="X17" s="79">
        <f>SUMIF('5. Kosten uitvoering project'!$F:$F,Tb_ProjectKosten[[#This Row],[Begroting]],'5. Kosten uitvoering project'!S:S)</f>
        <v>0</v>
      </c>
      <c r="Y17" s="79">
        <f>Tb_ProjectKosten[[#This Row],[Kosten_Aanvraag]]+Tb_ProjectKosten[[#This Row],[Forfait_Bedrag]]</f>
        <v>0</v>
      </c>
      <c r="Z17" s="79">
        <f>Tb_ProjectKosten[[#This Row],[Kosten_Beoordeeld]]+Tb_ProjectKosten[[#This Row],[Forfait_Bedrag_Beoordeeld]]</f>
        <v>0</v>
      </c>
      <c r="AA17" t="str">
        <f>IF(Tb_ProjectKosten[[#This Row],[Forfait]]=0,"Dit kostentype hoeft u niet op te geven. Hiervoor wordt een forfait berekend.","")</f>
        <v/>
      </c>
    </row>
    <row r="18" spans="1:27" x14ac:dyDescent="0.25">
      <c r="A18" s="78"/>
      <c r="B18" s="78"/>
      <c r="C18" s="78" t="str">
        <f>IFERROR(VLOOKUP($B18,Tb_ProjectKosten[],4,0),"")</f>
        <v/>
      </c>
      <c r="D18" s="105" t="str" cm="1">
        <f t="array" ref="D18">IFERROR(INDEX(Tb_KostenOpties[],MATCH(B18,Tb_KostenOpties[KostenOptie],0),IFERROR(MATCH(Methode_Keuze,Tb_KostenOpties[#Headers],0),2)),"")</f>
        <v/>
      </c>
      <c r="E18" s="117">
        <f>IFERROR(VLOOKUP(B18,Tb_ProjectKosten[[#All],[KostenOmschrijving]:[Forfat_Percentage]],6,0),0)</f>
        <v>0</v>
      </c>
      <c r="F18" s="115">
        <f>SUMIFS('5. Kosten uitvoering project'!P:P,'5. Kosten uitvoering project'!E:E,SubsidieTabel!A18,'5. Kosten uitvoering project'!F:F,SubsidieTabel!B18)</f>
        <v>0</v>
      </c>
      <c r="G18" s="115">
        <f>SUMIFS('5. Kosten uitvoering project'!Q:Q,'5. Kosten uitvoering project'!E:E,SubsidieTabel!A18,'5. Kosten uitvoering project'!F:F,SubsidieTabel!B18)</f>
        <v>0</v>
      </c>
      <c r="H18" s="115">
        <f>SUMIFS('5. Kosten uitvoering project'!R:R,'5. Kosten uitvoering project'!E:E,SubsidieTabel!A18,'5. Kosten uitvoering project'!F:F,SubsidieTabel!B18)</f>
        <v>0</v>
      </c>
      <c r="I18" s="115">
        <f>SUMIFS('5. Kosten uitvoering project'!S:S,'5. Kosten uitvoering project'!E:E,SubsidieTabel!A18,'5. Kosten uitvoering project'!F:F,SubsidieTabel!B18)</f>
        <v>0</v>
      </c>
      <c r="J18" s="115">
        <f t="shared" si="0"/>
        <v>0</v>
      </c>
      <c r="K18" s="115">
        <f t="shared" si="1"/>
        <v>0</v>
      </c>
      <c r="L18" s="117" t="str">
        <f>IFERROR(VLOOKUP(A18,Lijsten!$AD:$AE,2,0),"")</f>
        <v/>
      </c>
      <c r="M18" s="115">
        <f t="shared" si="2"/>
        <v>0</v>
      </c>
      <c r="N18" s="115">
        <f t="shared" si="3"/>
        <v>0</v>
      </c>
      <c r="Q18" s="18" t="s">
        <v>106</v>
      </c>
      <c r="R18" s="79">
        <f>IF(Tb_ProjectKosten[[#This Row],[Forfait]]=1,SUMIF('5. Kosten uitvoering project'!$F$6:$F$105,Tb_ProjectKosten[[#This Row],[KostenOmschrijving]],'5. Kosten uitvoering project'!$P$6:$P$105),0)</f>
        <v>0</v>
      </c>
      <c r="S18" s="79">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0">
        <v>0.23</v>
      </c>
      <c r="W18" s="79">
        <f>SUMIF('5. Kosten uitvoering project'!$F:$F,Tb_ProjectKosten[[#This Row],[Begroting]],'5. Kosten uitvoering project'!R:R)</f>
        <v>0</v>
      </c>
      <c r="X18" s="79">
        <f>SUMIF('5. Kosten uitvoering project'!$F:$F,Tb_ProjectKosten[[#This Row],[Begroting]],'5. Kosten uitvoering project'!S:S)</f>
        <v>0</v>
      </c>
      <c r="Y18" s="79">
        <f>Tb_ProjectKosten[[#This Row],[Kosten_Aanvraag]]+Tb_ProjectKosten[[#This Row],[Forfait_Bedrag]]</f>
        <v>0</v>
      </c>
      <c r="Z18" s="79">
        <f>Tb_ProjectKosten[[#This Row],[Kosten_Beoordeeld]]+Tb_ProjectKosten[[#This Row],[Forfait_Bedrag_Beoordeeld]]</f>
        <v>0</v>
      </c>
      <c r="AA18" t="str">
        <f>IF(Tb_ProjectKosten[[#This Row],[Forfait]]=0,"Dit kostentype hoeft u niet op te geven. Hiervoor wordt een forfait berekend.","")</f>
        <v/>
      </c>
    </row>
    <row r="19" spans="1:27" x14ac:dyDescent="0.25">
      <c r="A19" s="18"/>
      <c r="B19" s="18"/>
      <c r="C19" s="18" t="str">
        <f>IFERROR(VLOOKUP($B19,Tb_ProjectKosten[],4,0),"")</f>
        <v/>
      </c>
      <c r="D19" s="106" t="str" cm="1">
        <f t="array" ref="D19">IFERROR(INDEX(Tb_KostenOpties[],MATCH(B19,Tb_KostenOpties[KostenOptie],0),IFERROR(MATCH(Methode_Keuze,Tb_KostenOpties[#Headers],0),2)),"")</f>
        <v/>
      </c>
      <c r="E19" s="118">
        <f>IFERROR(VLOOKUP(B19,Tb_ProjectKosten[[#All],[KostenOmschrijving]:[Forfat_Percentage]],6,0),0)</f>
        <v>0</v>
      </c>
      <c r="F19" s="116">
        <f>SUMIFS('5. Kosten uitvoering project'!P:P,'5. Kosten uitvoering project'!E:E,SubsidieTabel!A19,'5. Kosten uitvoering project'!F:F,SubsidieTabel!B19)</f>
        <v>0</v>
      </c>
      <c r="G19" s="116">
        <f>SUMIFS('5. Kosten uitvoering project'!Q:Q,'5. Kosten uitvoering project'!E:E,SubsidieTabel!A19,'5. Kosten uitvoering project'!F:F,SubsidieTabel!B19)</f>
        <v>0</v>
      </c>
      <c r="H19" s="116">
        <f>SUMIFS('5. Kosten uitvoering project'!R:R,'5. Kosten uitvoering project'!E:E,SubsidieTabel!A19,'5. Kosten uitvoering project'!F:F,SubsidieTabel!B19)</f>
        <v>0</v>
      </c>
      <c r="I19" s="116">
        <f>SUMIFS('5. Kosten uitvoering project'!S:S,'5. Kosten uitvoering project'!E:E,SubsidieTabel!A19,'5. Kosten uitvoering project'!F:F,SubsidieTabel!B19)</f>
        <v>0</v>
      </c>
      <c r="J19" s="116">
        <f t="shared" si="0"/>
        <v>0</v>
      </c>
      <c r="K19" s="116">
        <f t="shared" si="1"/>
        <v>0</v>
      </c>
      <c r="L19" s="118" t="str">
        <f>IFERROR(VLOOKUP(A19,Lijsten!$AD:$AE,2,0),"")</f>
        <v/>
      </c>
      <c r="M19" s="116">
        <f t="shared" si="2"/>
        <v>0</v>
      </c>
      <c r="N19" s="116">
        <f t="shared" si="3"/>
        <v>0</v>
      </c>
      <c r="Q19" s="231" t="s">
        <v>3</v>
      </c>
      <c r="R19" s="79">
        <f>IF(Tb_ProjectKosten[[#This Row],[Forfait]]=1,SUMIF('5. Kosten uitvoering project'!$F$6:$F$105,Tb_ProjectKosten[[#This Row],[KostenOmschrijving]],'5. Kosten uitvoering project'!$P$6:$P$105),0)</f>
        <v>0</v>
      </c>
      <c r="S19" s="79">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0">
        <v>0.23</v>
      </c>
      <c r="W19" s="79">
        <f>SUMIF('5. Kosten uitvoering project'!$F:$F,Tb_ProjectKosten[[#This Row],[Begroting]],'5. Kosten uitvoering project'!R:R)</f>
        <v>0</v>
      </c>
      <c r="X19" s="79">
        <f>SUMIF('5. Kosten uitvoering project'!$F:$F,Tb_ProjectKosten[[#This Row],[Begroting]],'5. Kosten uitvoering project'!S:S)</f>
        <v>0</v>
      </c>
      <c r="Y19" s="79">
        <f>Tb_ProjectKosten[[#This Row],[Kosten_Aanvraag]]+Tb_ProjectKosten[[#This Row],[Forfait_Bedrag]]</f>
        <v>0</v>
      </c>
      <c r="Z19" s="79">
        <f>Tb_ProjectKosten[[#This Row],[Kosten_Beoordeeld]]+Tb_ProjectKosten[[#This Row],[Forfait_Bedrag_Beoordeeld]]</f>
        <v>0</v>
      </c>
      <c r="AA19" t="str">
        <f>IF(Tb_ProjectKosten[[#This Row],[Forfait]]=0,"Dit kostentype hoeft u niet op te geven. Hiervoor wordt een forfait berekend.","")</f>
        <v/>
      </c>
    </row>
    <row r="20" spans="1:27" x14ac:dyDescent="0.25">
      <c r="A20" s="78"/>
      <c r="B20" s="78"/>
      <c r="C20" s="78" t="str">
        <f>IFERROR(VLOOKUP($B20,Tb_ProjectKosten[],4,0),"")</f>
        <v/>
      </c>
      <c r="D20" s="105" t="str" cm="1">
        <f t="array" ref="D20">IFERROR(INDEX(Tb_KostenOpties[],MATCH(B20,Tb_KostenOpties[KostenOptie],0),IFERROR(MATCH(Methode_Keuze,Tb_KostenOpties[#Headers],0),2)),"")</f>
        <v/>
      </c>
      <c r="E20" s="117">
        <f>IFERROR(VLOOKUP(B20,Tb_ProjectKosten[[#All],[KostenOmschrijving]:[Forfat_Percentage]],6,0),0)</f>
        <v>0</v>
      </c>
      <c r="F20" s="115">
        <f>SUMIFS('5. Kosten uitvoering project'!P:P,'5. Kosten uitvoering project'!E:E,SubsidieTabel!A20,'5. Kosten uitvoering project'!F:F,SubsidieTabel!B20)</f>
        <v>0</v>
      </c>
      <c r="G20" s="115">
        <f>SUMIFS('5. Kosten uitvoering project'!Q:Q,'5. Kosten uitvoering project'!E:E,SubsidieTabel!A20,'5. Kosten uitvoering project'!F:F,SubsidieTabel!B20)</f>
        <v>0</v>
      </c>
      <c r="H20" s="115">
        <f>SUMIFS('5. Kosten uitvoering project'!R:R,'5. Kosten uitvoering project'!E:E,SubsidieTabel!A20,'5. Kosten uitvoering project'!F:F,SubsidieTabel!B20)</f>
        <v>0</v>
      </c>
      <c r="I20" s="115">
        <f>SUMIFS('5. Kosten uitvoering project'!S:S,'5. Kosten uitvoering project'!E:E,SubsidieTabel!A20,'5. Kosten uitvoering project'!F:F,SubsidieTabel!B20)</f>
        <v>0</v>
      </c>
      <c r="J20" s="115">
        <f t="shared" si="0"/>
        <v>0</v>
      </c>
      <c r="K20" s="115">
        <f t="shared" si="1"/>
        <v>0</v>
      </c>
      <c r="L20" s="117" t="str">
        <f>IFERROR(VLOOKUP(A20,Lijsten!$AD:$AE,2,0),"")</f>
        <v/>
      </c>
      <c r="M20" s="115">
        <f t="shared" si="2"/>
        <v>0</v>
      </c>
      <c r="N20" s="115">
        <f t="shared" si="3"/>
        <v>0</v>
      </c>
    </row>
    <row r="21" spans="1:27" x14ac:dyDescent="0.25">
      <c r="A21" s="18"/>
      <c r="B21" s="18"/>
      <c r="C21" s="18" t="str">
        <f>IFERROR(VLOOKUP($B21,Tb_ProjectKosten[],4,0),"")</f>
        <v/>
      </c>
      <c r="D21" s="106" t="str" cm="1">
        <f t="array" ref="D21">IFERROR(INDEX(Tb_KostenOpties[],MATCH(B21,Tb_KostenOpties[KostenOptie],0),IFERROR(MATCH(Methode_Keuze,Tb_KostenOpties[#Headers],0),2)),"")</f>
        <v/>
      </c>
      <c r="E21" s="118">
        <f>IFERROR(VLOOKUP(B21,Tb_ProjectKosten[[#All],[KostenOmschrijving]:[Forfat_Percentage]],6,0),0)</f>
        <v>0</v>
      </c>
      <c r="F21" s="116">
        <f>SUMIFS('5. Kosten uitvoering project'!P:P,'5. Kosten uitvoering project'!E:E,SubsidieTabel!A21,'5. Kosten uitvoering project'!F:F,SubsidieTabel!B21)</f>
        <v>0</v>
      </c>
      <c r="G21" s="116">
        <f>SUMIFS('5. Kosten uitvoering project'!Q:Q,'5. Kosten uitvoering project'!E:E,SubsidieTabel!A21,'5. Kosten uitvoering project'!F:F,SubsidieTabel!B21)</f>
        <v>0</v>
      </c>
      <c r="H21" s="116">
        <f>SUMIFS('5. Kosten uitvoering project'!R:R,'5. Kosten uitvoering project'!E:E,SubsidieTabel!A21,'5. Kosten uitvoering project'!F:F,SubsidieTabel!B21)</f>
        <v>0</v>
      </c>
      <c r="I21" s="116">
        <f>SUMIFS('5. Kosten uitvoering project'!S:S,'5. Kosten uitvoering project'!E:E,SubsidieTabel!A21,'5. Kosten uitvoering project'!F:F,SubsidieTabel!B21)</f>
        <v>0</v>
      </c>
      <c r="J21" s="116">
        <f t="shared" si="0"/>
        <v>0</v>
      </c>
      <c r="K21" s="116">
        <f t="shared" si="1"/>
        <v>0</v>
      </c>
      <c r="L21" s="118" t="str">
        <f>IFERROR(VLOOKUP(A21,Lijsten!$AD:$AE,2,0),"")</f>
        <v/>
      </c>
      <c r="M21" s="116">
        <f t="shared" si="2"/>
        <v>0</v>
      </c>
      <c r="N21" s="116">
        <f t="shared" si="3"/>
        <v>0</v>
      </c>
      <c r="Q21" t="s">
        <v>92</v>
      </c>
      <c r="R21" t="s">
        <v>110</v>
      </c>
      <c r="S21" t="s">
        <v>112</v>
      </c>
      <c r="T21" t="s">
        <v>113</v>
      </c>
      <c r="U21" t="s">
        <v>40</v>
      </c>
      <c r="V21" t="s">
        <v>96</v>
      </c>
      <c r="W21" t="s">
        <v>97</v>
      </c>
      <c r="X21" t="s">
        <v>98</v>
      </c>
      <c r="Y21" t="s">
        <v>198</v>
      </c>
      <c r="Z21" t="s">
        <v>199</v>
      </c>
      <c r="AA21" t="s">
        <v>56</v>
      </c>
    </row>
    <row r="22" spans="1:27" x14ac:dyDescent="0.25">
      <c r="A22" s="78"/>
      <c r="B22" s="78"/>
      <c r="C22" s="78" t="str">
        <f>IFERROR(VLOOKUP($B22,Tb_ProjectKosten[],4,0),"")</f>
        <v/>
      </c>
      <c r="D22" s="105" t="str" cm="1">
        <f t="array" ref="D22">IFERROR(INDEX(Tb_KostenOpties[],MATCH(B22,Tb_KostenOpties[KostenOptie],0),IFERROR(MATCH(Methode_Keuze,Tb_KostenOpties[#Headers],0),2)),"")</f>
        <v/>
      </c>
      <c r="E22" s="117">
        <f>IFERROR(VLOOKUP(B22,Tb_ProjectKosten[[#All],[KostenOmschrijving]:[Forfat_Percentage]],6,0),0)</f>
        <v>0</v>
      </c>
      <c r="F22" s="115">
        <f>SUMIFS('5. Kosten uitvoering project'!P:P,'5. Kosten uitvoering project'!E:E,SubsidieTabel!A22,'5. Kosten uitvoering project'!F:F,SubsidieTabel!B22)</f>
        <v>0</v>
      </c>
      <c r="G22" s="115">
        <f>SUMIFS('5. Kosten uitvoering project'!Q:Q,'5. Kosten uitvoering project'!E:E,SubsidieTabel!A22,'5. Kosten uitvoering project'!F:F,SubsidieTabel!B22)</f>
        <v>0</v>
      </c>
      <c r="H22" s="115">
        <f>SUMIFS('5. Kosten uitvoering project'!R:R,'5. Kosten uitvoering project'!E:E,SubsidieTabel!A22,'5. Kosten uitvoering project'!F:F,SubsidieTabel!B22)</f>
        <v>0</v>
      </c>
      <c r="I22" s="115">
        <f>SUMIFS('5. Kosten uitvoering project'!S:S,'5. Kosten uitvoering project'!E:E,SubsidieTabel!A22,'5. Kosten uitvoering project'!F:F,SubsidieTabel!B22)</f>
        <v>0</v>
      </c>
      <c r="J22" s="115">
        <f t="shared" si="0"/>
        <v>0</v>
      </c>
      <c r="K22" s="115">
        <f t="shared" si="1"/>
        <v>0</v>
      </c>
      <c r="L22" s="117" t="str">
        <f>IFERROR(VLOOKUP(A22,Lijsten!$AD:$AE,2,0),"")</f>
        <v/>
      </c>
      <c r="M22" s="115">
        <f t="shared" si="2"/>
        <v>0</v>
      </c>
      <c r="N22" s="115">
        <f t="shared" si="3"/>
        <v>0</v>
      </c>
      <c r="Q22" s="78" t="s">
        <v>8</v>
      </c>
      <c r="R22" s="84" t="str">
        <f t="shared" ref="R22:R29" si="4">IF(Keuze_DB_Nr&lt;&gt;"",Keuze_DB_Nr,"")</f>
        <v/>
      </c>
      <c r="S22" s="79">
        <f>IF(Tb_DBKosten[[#This Row],[Forfait]]=1,SUMIFS('8. Uitgaven betaalverzoek'!U:U,'8. Uitgaven betaalverzoek'!F:F,Tb_DBKosten[[#This Row],[KostenOmschrijving]],'8. Uitgaven betaalverzoek'!A:A,Tb_DBKosten[[#This Row],[Deelbetaling]]),0)</f>
        <v>0</v>
      </c>
      <c r="T22" s="79">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0">
        <v>0.4</v>
      </c>
      <c r="W22" s="79">
        <f>IF(Tb_DBKosten[[#This Row],[Forfait]]=1,SUMIFS('8. Uitgaven betaalverzoek'!W:W,'8. Uitgaven betaalverzoek'!F:F,Tb_DBKosten[[#This Row],[KostenOmschrijving]],'8. Uitgaven betaalverzoek'!A:A,Tb_DBKosten[[#This Row],[Deelbetaling]]),0)</f>
        <v>0</v>
      </c>
      <c r="X22" s="79">
        <f>IF(Tb_DBKosten[[#This Row],[Forfait]]=1,SUMIFS('8. Uitgaven betaalverzoek'!X:X,'8. Uitgaven betaalverzoek'!F:F,Tb_DBKosten[[#This Row],[KostenOmschrijving]],'8. Uitgaven betaalverzoek'!A:A,Tb_DBKosten[[#This Row],[Deelbetaling]]),0)</f>
        <v>0</v>
      </c>
      <c r="Y22" s="79">
        <f>Tb_DBKosten[[#This Row],[Deelbetaling_Aanvraag]]+Tb_DBKosten[[#This Row],[Forfait_Bedrag]]</f>
        <v>0</v>
      </c>
      <c r="Z22" s="79">
        <f>Tb_DBKosten[[#This Row],[Deelbetaling_Beoordeeld]]+Tb_DBKosten[[#This Row],[Forfait_Bedrag_Beoordeeld]]</f>
        <v>0</v>
      </c>
      <c r="AA22" t="str">
        <f>IF(Tb_DBKosten[[#This Row],[Forfait]]=0,"Dit kostentype hoeft u niet op te geven. Hiervoor wordt een forfait berekend.","")</f>
        <v/>
      </c>
    </row>
    <row r="23" spans="1:27" x14ac:dyDescent="0.25">
      <c r="A23" s="18"/>
      <c r="B23" s="18"/>
      <c r="C23" s="18" t="str">
        <f>IFERROR(VLOOKUP($B23,Tb_ProjectKosten[],4,0),"")</f>
        <v/>
      </c>
      <c r="D23" s="106" t="str" cm="1">
        <f t="array" ref="D23">IFERROR(INDEX(Tb_KostenOpties[],MATCH(B23,Tb_KostenOpties[KostenOptie],0),IFERROR(MATCH(Methode_Keuze,Tb_KostenOpties[#Headers],0),2)),"")</f>
        <v/>
      </c>
      <c r="E23" s="118">
        <f>IFERROR(VLOOKUP(B23,Tb_ProjectKosten[[#All],[KostenOmschrijving]:[Forfat_Percentage]],6,0),0)</f>
        <v>0</v>
      </c>
      <c r="F23" s="116">
        <f>SUMIFS('5. Kosten uitvoering project'!P:P,'5. Kosten uitvoering project'!E:E,SubsidieTabel!A23,'5. Kosten uitvoering project'!F:F,SubsidieTabel!B23)</f>
        <v>0</v>
      </c>
      <c r="G23" s="116">
        <f>SUMIFS('5. Kosten uitvoering project'!Q:Q,'5. Kosten uitvoering project'!E:E,SubsidieTabel!A23,'5. Kosten uitvoering project'!F:F,SubsidieTabel!B23)</f>
        <v>0</v>
      </c>
      <c r="H23" s="116">
        <f>SUMIFS('5. Kosten uitvoering project'!R:R,'5. Kosten uitvoering project'!E:E,SubsidieTabel!A23,'5. Kosten uitvoering project'!F:F,SubsidieTabel!B23)</f>
        <v>0</v>
      </c>
      <c r="I23" s="116">
        <f>SUMIFS('5. Kosten uitvoering project'!S:S,'5. Kosten uitvoering project'!E:E,SubsidieTabel!A23,'5. Kosten uitvoering project'!F:F,SubsidieTabel!B23)</f>
        <v>0</v>
      </c>
      <c r="J23" s="116">
        <f t="shared" si="0"/>
        <v>0</v>
      </c>
      <c r="K23" s="116">
        <f t="shared" si="1"/>
        <v>0</v>
      </c>
      <c r="L23" s="118" t="str">
        <f>IFERROR(VLOOKUP(A23,Lijsten!$AD:$AE,2,0),"")</f>
        <v/>
      </c>
      <c r="M23" s="116">
        <f t="shared" si="2"/>
        <v>0</v>
      </c>
      <c r="N23" s="116">
        <f t="shared" si="3"/>
        <v>0</v>
      </c>
      <c r="Q23" s="18" t="s">
        <v>91</v>
      </c>
      <c r="R23" t="str">
        <f t="shared" si="4"/>
        <v/>
      </c>
      <c r="S23" s="79">
        <f>IF(Tb_DBKosten[[#This Row],[Forfait]]=1,SUMIFS('8. Uitgaven betaalverzoek'!U:U,'8. Uitgaven betaalverzoek'!F:F,Tb_DBKosten[[#This Row],[KostenOmschrijving]],'8. Uitgaven betaalverzoek'!A:A,Tb_DBKosten[[#This Row],[Deelbetaling]]),0)</f>
        <v>0</v>
      </c>
      <c r="T23" s="79">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0">
        <v>0</v>
      </c>
      <c r="W23" s="79">
        <f>IF(Tb_DBKosten[[#This Row],[Forfait]]=1,SUMIFS('8. Uitgaven betaalverzoek'!W:W,'8. Uitgaven betaalverzoek'!F:F,Tb_DBKosten[[#This Row],[KostenOmschrijving]],'8. Uitgaven betaalverzoek'!A:A,Tb_DBKosten[[#This Row],[Deelbetaling]]),0)</f>
        <v>0</v>
      </c>
      <c r="X23" s="79">
        <f>IF(Tb_DBKosten[[#This Row],[Forfait]]=1,SUMIFS('8. Uitgaven betaalverzoek'!X:X,'8. Uitgaven betaalverzoek'!F:F,Tb_DBKosten[[#This Row],[KostenOmschrijving]],'8. Uitgaven betaalverzoek'!A:A,Tb_DBKosten[[#This Row],[Deelbetaling]]),0)</f>
        <v>0</v>
      </c>
      <c r="Y23" s="79">
        <f>Tb_DBKosten[[#This Row],[Deelbetaling_Aanvraag]]+Tb_DBKosten[[#This Row],[Forfait_Bedrag]]</f>
        <v>0</v>
      </c>
      <c r="Z23" s="79">
        <f>Tb_DBKosten[[#This Row],[Deelbetaling_Beoordeeld]]+Tb_DBKosten[[#This Row],[Forfait_Bedrag_Beoordeeld]]</f>
        <v>0</v>
      </c>
      <c r="AA23" t="str">
        <f>IF(Tb_DBKosten[[#This Row],[Forfait]]=0,"Dit kostentype hoeft u niet op te geven. Hiervoor wordt een forfait berekend.","")</f>
        <v/>
      </c>
    </row>
    <row r="24" spans="1:27" x14ac:dyDescent="0.25">
      <c r="A24" s="78"/>
      <c r="B24" s="78"/>
      <c r="C24" s="78" t="str">
        <f>IFERROR(VLOOKUP($B24,Tb_ProjectKosten[],4,0),"")</f>
        <v/>
      </c>
      <c r="D24" s="105" t="str" cm="1">
        <f t="array" ref="D24">IFERROR(INDEX(Tb_KostenOpties[],MATCH(B24,Tb_KostenOpties[KostenOptie],0),IFERROR(MATCH(Methode_Keuze,Tb_KostenOpties[#Headers],0),2)),"")</f>
        <v/>
      </c>
      <c r="E24" s="117">
        <f>IFERROR(VLOOKUP(B24,Tb_ProjectKosten[[#All],[KostenOmschrijving]:[Forfat_Percentage]],6,0),0)</f>
        <v>0</v>
      </c>
      <c r="F24" s="115">
        <f>SUMIFS('5. Kosten uitvoering project'!P:P,'5. Kosten uitvoering project'!E:E,SubsidieTabel!A24,'5. Kosten uitvoering project'!F:F,SubsidieTabel!B24)</f>
        <v>0</v>
      </c>
      <c r="G24" s="115">
        <f>SUMIFS('5. Kosten uitvoering project'!Q:Q,'5. Kosten uitvoering project'!E:E,SubsidieTabel!A24,'5. Kosten uitvoering project'!F:F,SubsidieTabel!B24)</f>
        <v>0</v>
      </c>
      <c r="H24" s="115">
        <f>SUMIFS('5. Kosten uitvoering project'!R:R,'5. Kosten uitvoering project'!E:E,SubsidieTabel!A24,'5. Kosten uitvoering project'!F:F,SubsidieTabel!B24)</f>
        <v>0</v>
      </c>
      <c r="I24" s="115">
        <f>SUMIFS('5. Kosten uitvoering project'!S:S,'5. Kosten uitvoering project'!E:E,SubsidieTabel!A24,'5. Kosten uitvoering project'!F:F,SubsidieTabel!B24)</f>
        <v>0</v>
      </c>
      <c r="J24" s="115">
        <f t="shared" si="0"/>
        <v>0</v>
      </c>
      <c r="K24" s="115">
        <f t="shared" si="1"/>
        <v>0</v>
      </c>
      <c r="L24" s="117" t="str">
        <f>IFERROR(VLOOKUP(A24,Lijsten!$AD:$AE,2,0),"")</f>
        <v/>
      </c>
      <c r="M24" s="115">
        <f t="shared" si="2"/>
        <v>0</v>
      </c>
      <c r="N24" s="115">
        <f t="shared" si="3"/>
        <v>0</v>
      </c>
      <c r="Q24" s="78" t="s">
        <v>28</v>
      </c>
      <c r="R24" s="84" t="str">
        <f t="shared" si="4"/>
        <v/>
      </c>
      <c r="S24" s="79">
        <f>IF(Tb_DBKosten[[#This Row],[Forfait]]=1,SUMIFS('8. Uitgaven betaalverzoek'!U:U,'8. Uitgaven betaalverzoek'!F:F,Tb_DBKosten[[#This Row],[KostenOmschrijving]],'8. Uitgaven betaalverzoek'!A:A,Tb_DBKosten[[#This Row],[Deelbetaling]]),0)</f>
        <v>0</v>
      </c>
      <c r="T24" s="79">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0">
        <v>0.4</v>
      </c>
      <c r="W24" s="79">
        <f>IF(Tb_DBKosten[[#This Row],[Forfait]]=1,SUMIFS('8. Uitgaven betaalverzoek'!W:W,'8. Uitgaven betaalverzoek'!F:F,Tb_DBKosten[[#This Row],[KostenOmschrijving]],'8. Uitgaven betaalverzoek'!A:A,Tb_DBKosten[[#This Row],[Deelbetaling]]),0)</f>
        <v>0</v>
      </c>
      <c r="X24" s="79">
        <f>IF(Tb_DBKosten[[#This Row],[Forfait]]=1,SUMIFS('8. Uitgaven betaalverzoek'!X:X,'8. Uitgaven betaalverzoek'!F:F,Tb_DBKosten[[#This Row],[KostenOmschrijving]],'8. Uitgaven betaalverzoek'!A:A,Tb_DBKosten[[#This Row],[Deelbetaling]]),0)</f>
        <v>0</v>
      </c>
      <c r="Y24" s="79">
        <f>Tb_DBKosten[[#This Row],[Deelbetaling_Aanvraag]]+Tb_DBKosten[[#This Row],[Forfait_Bedrag]]</f>
        <v>0</v>
      </c>
      <c r="Z24" s="79">
        <f>Tb_DBKosten[[#This Row],[Deelbetaling_Beoordeeld]]+Tb_DBKosten[[#This Row],[Forfait_Bedrag_Beoordeeld]]</f>
        <v>0</v>
      </c>
      <c r="AA24" t="str">
        <f>IF(Tb_DBKosten[[#This Row],[Forfait]]=0,"Dit kostentype hoeft u niet op te geven. Hiervoor wordt een forfait berekend.","")</f>
        <v/>
      </c>
    </row>
    <row r="25" spans="1:27" x14ac:dyDescent="0.25">
      <c r="A25" s="18"/>
      <c r="B25" s="18"/>
      <c r="C25" s="18" t="str">
        <f>IFERROR(VLOOKUP($B25,Tb_ProjectKosten[],4,0),"")</f>
        <v/>
      </c>
      <c r="D25" s="106" t="str" cm="1">
        <f t="array" ref="D25">IFERROR(INDEX(Tb_KostenOpties[],MATCH(B25,Tb_KostenOpties[KostenOptie],0),IFERROR(MATCH(Methode_Keuze,Tb_KostenOpties[#Headers],0),2)),"")</f>
        <v/>
      </c>
      <c r="E25" s="118">
        <f>IFERROR(VLOOKUP(B25,Tb_ProjectKosten[[#All],[KostenOmschrijving]:[Forfat_Percentage]],6,0),0)</f>
        <v>0</v>
      </c>
      <c r="F25" s="116">
        <f>SUMIFS('5. Kosten uitvoering project'!P:P,'5. Kosten uitvoering project'!E:E,SubsidieTabel!A25,'5. Kosten uitvoering project'!F:F,SubsidieTabel!B25)</f>
        <v>0</v>
      </c>
      <c r="G25" s="116">
        <f>SUMIFS('5. Kosten uitvoering project'!Q:Q,'5. Kosten uitvoering project'!E:E,SubsidieTabel!A25,'5. Kosten uitvoering project'!F:F,SubsidieTabel!B25)</f>
        <v>0</v>
      </c>
      <c r="H25" s="116">
        <f>SUMIFS('5. Kosten uitvoering project'!R:R,'5. Kosten uitvoering project'!E:E,SubsidieTabel!A25,'5. Kosten uitvoering project'!F:F,SubsidieTabel!B25)</f>
        <v>0</v>
      </c>
      <c r="I25" s="116">
        <f>SUMIFS('5. Kosten uitvoering project'!S:S,'5. Kosten uitvoering project'!E:E,SubsidieTabel!A25,'5. Kosten uitvoering project'!F:F,SubsidieTabel!B25)</f>
        <v>0</v>
      </c>
      <c r="J25" s="116">
        <f t="shared" si="0"/>
        <v>0</v>
      </c>
      <c r="K25" s="116">
        <f t="shared" si="1"/>
        <v>0</v>
      </c>
      <c r="L25" s="118" t="str">
        <f>IFERROR(VLOOKUP(A25,Lijsten!$AD:$AE,2,0),"")</f>
        <v/>
      </c>
      <c r="M25" s="116">
        <f t="shared" si="2"/>
        <v>0</v>
      </c>
      <c r="N25" s="116">
        <f t="shared" si="3"/>
        <v>0</v>
      </c>
      <c r="Q25" s="18" t="s">
        <v>27</v>
      </c>
      <c r="R25" t="str">
        <f t="shared" si="4"/>
        <v/>
      </c>
      <c r="S25" s="79">
        <f>IF(Tb_DBKosten[[#This Row],[Forfait]]=1,SUMIFS('8. Uitgaven betaalverzoek'!U:U,'8. Uitgaven betaalverzoek'!F:F,Tb_DBKosten[[#This Row],[KostenOmschrijving]],'8. Uitgaven betaalverzoek'!A:A,Tb_DBKosten[[#This Row],[Deelbetaling]]),0)</f>
        <v>0</v>
      </c>
      <c r="T25" s="79">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0">
        <v>0.23</v>
      </c>
      <c r="W25" s="79">
        <f>IF(Tb_DBKosten[[#This Row],[Forfait]]=1,SUMIFS('8. Uitgaven betaalverzoek'!W:W,'8. Uitgaven betaalverzoek'!F:F,Tb_DBKosten[[#This Row],[KostenOmschrijving]],'8. Uitgaven betaalverzoek'!A:A,Tb_DBKosten[[#This Row],[Deelbetaling]]),0)</f>
        <v>0</v>
      </c>
      <c r="X25" s="79">
        <f>IF(Tb_DBKosten[[#This Row],[Forfait]]=1,SUMIFS('8. Uitgaven betaalverzoek'!X:X,'8. Uitgaven betaalverzoek'!F:F,Tb_DBKosten[[#This Row],[KostenOmschrijving]],'8. Uitgaven betaalverzoek'!A:A,Tb_DBKosten[[#This Row],[Deelbetaling]]),0)</f>
        <v>0</v>
      </c>
      <c r="Y25" s="79">
        <f>Tb_DBKosten[[#This Row],[Deelbetaling_Aanvraag]]+Tb_DBKosten[[#This Row],[Forfait_Bedrag]]</f>
        <v>0</v>
      </c>
      <c r="Z25" s="79">
        <f>Tb_DBKosten[[#This Row],[Deelbetaling_Beoordeeld]]+Tb_DBKosten[[#This Row],[Forfait_Bedrag_Beoordeeld]]</f>
        <v>0</v>
      </c>
      <c r="AA25" t="str">
        <f>IF(Tb_DBKosten[[#This Row],[Forfait]]=0,"Dit kostentype hoeft u niet op te geven. Hiervoor wordt een forfait berekend.","")</f>
        <v/>
      </c>
    </row>
    <row r="26" spans="1:27" x14ac:dyDescent="0.25">
      <c r="A26" s="78"/>
      <c r="B26" s="78"/>
      <c r="C26" s="78" t="str">
        <f>IFERROR(VLOOKUP($B26,Tb_ProjectKosten[],4,0),"")</f>
        <v/>
      </c>
      <c r="D26" s="105" t="str" cm="1">
        <f t="array" ref="D26">IFERROR(INDEX(Tb_KostenOpties[],MATCH(B26,Tb_KostenOpties[KostenOptie],0),IFERROR(MATCH(Methode_Keuze,Tb_KostenOpties[#Headers],0),2)),"")</f>
        <v/>
      </c>
      <c r="E26" s="117">
        <f>IFERROR(VLOOKUP(B26,Tb_ProjectKosten[[#All],[KostenOmschrijving]:[Forfat_Percentage]],6,0),0)</f>
        <v>0</v>
      </c>
      <c r="F26" s="115">
        <f>SUMIFS('5. Kosten uitvoering project'!P:P,'5. Kosten uitvoering project'!E:E,SubsidieTabel!A26,'5. Kosten uitvoering project'!F:F,SubsidieTabel!B26)</f>
        <v>0</v>
      </c>
      <c r="G26" s="115">
        <f>SUMIFS('5. Kosten uitvoering project'!Q:Q,'5. Kosten uitvoering project'!E:E,SubsidieTabel!A26,'5. Kosten uitvoering project'!F:F,SubsidieTabel!B26)</f>
        <v>0</v>
      </c>
      <c r="H26" s="115">
        <f>SUMIFS('5. Kosten uitvoering project'!R:R,'5. Kosten uitvoering project'!E:E,SubsidieTabel!A26,'5. Kosten uitvoering project'!F:F,SubsidieTabel!B26)</f>
        <v>0</v>
      </c>
      <c r="I26" s="115">
        <f>SUMIFS('5. Kosten uitvoering project'!S:S,'5. Kosten uitvoering project'!E:E,SubsidieTabel!A26,'5. Kosten uitvoering project'!F:F,SubsidieTabel!B26)</f>
        <v>0</v>
      </c>
      <c r="J26" s="115">
        <f t="shared" si="0"/>
        <v>0</v>
      </c>
      <c r="K26" s="115">
        <f t="shared" si="1"/>
        <v>0</v>
      </c>
      <c r="L26" s="117" t="str">
        <f>IFERROR(VLOOKUP(A26,Lijsten!$AD:$AE,2,0),"")</f>
        <v/>
      </c>
      <c r="M26" s="115">
        <f t="shared" si="2"/>
        <v>0</v>
      </c>
      <c r="N26" s="115">
        <f t="shared" si="3"/>
        <v>0</v>
      </c>
      <c r="Q26" s="78" t="s">
        <v>11</v>
      </c>
      <c r="R26" s="84" t="str">
        <f t="shared" si="4"/>
        <v/>
      </c>
      <c r="S26" s="79">
        <f>IF(Tb_DBKosten[[#This Row],[Forfait]]=1,SUMIFS('8. Uitgaven betaalverzoek'!U:U,'8. Uitgaven betaalverzoek'!F:F,Tb_DBKosten[[#This Row],[KostenOmschrijving]],'8. Uitgaven betaalverzoek'!A:A,Tb_DBKosten[[#This Row],[Deelbetaling]]),0)</f>
        <v>0</v>
      </c>
      <c r="T26" s="79">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0">
        <v>0.23</v>
      </c>
      <c r="W26" s="79">
        <f>IF(Tb_DBKosten[[#This Row],[Forfait]]=1,SUMIFS('8. Uitgaven betaalverzoek'!W:W,'8. Uitgaven betaalverzoek'!F:F,Tb_DBKosten[[#This Row],[KostenOmschrijving]],'8. Uitgaven betaalverzoek'!A:A,Tb_DBKosten[[#This Row],[Deelbetaling]]),0)</f>
        <v>0</v>
      </c>
      <c r="X26" s="79">
        <f>IF(Tb_DBKosten[[#This Row],[Forfait]]=1,SUMIFS('8. Uitgaven betaalverzoek'!X:X,'8. Uitgaven betaalverzoek'!F:F,Tb_DBKosten[[#This Row],[KostenOmschrijving]],'8. Uitgaven betaalverzoek'!A:A,Tb_DBKosten[[#This Row],[Deelbetaling]]),0)</f>
        <v>0</v>
      </c>
      <c r="Y26" s="79">
        <f>Tb_DBKosten[[#This Row],[Deelbetaling_Aanvraag]]+Tb_DBKosten[[#This Row],[Forfait_Bedrag]]</f>
        <v>0</v>
      </c>
      <c r="Z26" s="79">
        <f>Tb_DBKosten[[#This Row],[Deelbetaling_Beoordeeld]]+Tb_DBKosten[[#This Row],[Forfait_Bedrag_Beoordeeld]]</f>
        <v>0</v>
      </c>
      <c r="AA26" t="str">
        <f>IF(Tb_DBKosten[[#This Row],[Forfait]]=0,"Dit kostentype hoeft u niet op te geven. Hiervoor wordt een forfait berekend.","")</f>
        <v/>
      </c>
    </row>
    <row r="27" spans="1:27" x14ac:dyDescent="0.25">
      <c r="A27" s="18"/>
      <c r="B27" s="18"/>
      <c r="C27" s="18" t="str">
        <f>IFERROR(VLOOKUP($B27,Tb_ProjectKosten[],4,0),"")</f>
        <v/>
      </c>
      <c r="D27" s="106" t="str" cm="1">
        <f t="array" ref="D27">IFERROR(INDEX(Tb_KostenOpties[],MATCH(B27,Tb_KostenOpties[KostenOptie],0),IFERROR(MATCH(Methode_Keuze,Tb_KostenOpties[#Headers],0),2)),"")</f>
        <v/>
      </c>
      <c r="E27" s="118">
        <f>IFERROR(VLOOKUP(B27,Tb_ProjectKosten[[#All],[KostenOmschrijving]:[Forfat_Percentage]],6,0),0)</f>
        <v>0</v>
      </c>
      <c r="F27" s="116">
        <f>SUMIFS('5. Kosten uitvoering project'!P:P,'5. Kosten uitvoering project'!E:E,SubsidieTabel!A27,'5. Kosten uitvoering project'!F:F,SubsidieTabel!B27)</f>
        <v>0</v>
      </c>
      <c r="G27" s="116">
        <f>SUMIFS('5. Kosten uitvoering project'!Q:Q,'5. Kosten uitvoering project'!E:E,SubsidieTabel!A27,'5. Kosten uitvoering project'!F:F,SubsidieTabel!B27)</f>
        <v>0</v>
      </c>
      <c r="H27" s="116">
        <f>SUMIFS('5. Kosten uitvoering project'!R:R,'5. Kosten uitvoering project'!E:E,SubsidieTabel!A27,'5. Kosten uitvoering project'!F:F,SubsidieTabel!B27)</f>
        <v>0</v>
      </c>
      <c r="I27" s="116">
        <f>SUMIFS('5. Kosten uitvoering project'!S:S,'5. Kosten uitvoering project'!E:E,SubsidieTabel!A27,'5. Kosten uitvoering project'!F:F,SubsidieTabel!B27)</f>
        <v>0</v>
      </c>
      <c r="J27" s="116">
        <f t="shared" si="0"/>
        <v>0</v>
      </c>
      <c r="K27" s="116">
        <f t="shared" si="1"/>
        <v>0</v>
      </c>
      <c r="L27" s="118" t="str">
        <f>IFERROR(VLOOKUP(A27,Lijsten!$AD:$AE,2,0),"")</f>
        <v/>
      </c>
      <c r="M27" s="116">
        <f t="shared" si="2"/>
        <v>0</v>
      </c>
      <c r="N27" s="116">
        <f t="shared" si="3"/>
        <v>0</v>
      </c>
      <c r="Q27" s="18" t="s">
        <v>106</v>
      </c>
      <c r="R27" t="str">
        <f t="shared" si="4"/>
        <v/>
      </c>
      <c r="S27" s="79">
        <f>IF(Tb_DBKosten[[#This Row],[Forfait]]=1,SUMIFS('8. Uitgaven betaalverzoek'!U:U,'8. Uitgaven betaalverzoek'!F:F,Tb_DBKosten[[#This Row],[KostenOmschrijving]],'8. Uitgaven betaalverzoek'!A:A,Tb_DBKosten[[#This Row],[Deelbetaling]]),0)</f>
        <v>0</v>
      </c>
      <c r="T27" s="79">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0">
        <v>0.23</v>
      </c>
      <c r="W27" s="79">
        <f>IF(Tb_DBKosten[[#This Row],[Forfait]]=1,SUMIFS('8. Uitgaven betaalverzoek'!W:W,'8. Uitgaven betaalverzoek'!F:F,Tb_DBKosten[[#This Row],[KostenOmschrijving]],'8. Uitgaven betaalverzoek'!A:A,Tb_DBKosten[[#This Row],[Deelbetaling]]),0)</f>
        <v>0</v>
      </c>
      <c r="X27" s="79">
        <f>IF(Tb_DBKosten[[#This Row],[Forfait]]=1,SUMIFS('8. Uitgaven betaalverzoek'!X:X,'8. Uitgaven betaalverzoek'!F:F,Tb_DBKosten[[#This Row],[KostenOmschrijving]],'8. Uitgaven betaalverzoek'!A:A,Tb_DBKosten[[#This Row],[Deelbetaling]]),0)</f>
        <v>0</v>
      </c>
      <c r="Y27" s="79">
        <f>Tb_DBKosten[[#This Row],[Deelbetaling_Aanvraag]]+Tb_DBKosten[[#This Row],[Forfait_Bedrag]]</f>
        <v>0</v>
      </c>
      <c r="Z27" s="79">
        <f>Tb_DBKosten[[#This Row],[Deelbetaling_Beoordeeld]]+Tb_DBKosten[[#This Row],[Forfait_Bedrag_Beoordeeld]]</f>
        <v>0</v>
      </c>
      <c r="AA27" t="str">
        <f>IF(Tb_DBKosten[[#This Row],[Forfait]]=0,"Dit kostentype hoeft u niet op te geven. Hiervoor wordt een forfait berekend.","")</f>
        <v/>
      </c>
    </row>
    <row r="28" spans="1:27" x14ac:dyDescent="0.25">
      <c r="A28" s="78"/>
      <c r="B28" s="78"/>
      <c r="C28" s="78" t="str">
        <f>IFERROR(VLOOKUP($B28,Tb_ProjectKosten[],4,0),"")</f>
        <v/>
      </c>
      <c r="D28" s="105" t="str" cm="1">
        <f t="array" ref="D28">IFERROR(INDEX(Tb_KostenOpties[],MATCH(B28,Tb_KostenOpties[KostenOptie],0),IFERROR(MATCH(Methode_Keuze,Tb_KostenOpties[#Headers],0),2)),"")</f>
        <v/>
      </c>
      <c r="E28" s="117">
        <f>IFERROR(VLOOKUP(B28,Tb_ProjectKosten[[#All],[KostenOmschrijving]:[Forfat_Percentage]],6,0),0)</f>
        <v>0</v>
      </c>
      <c r="F28" s="115">
        <f>SUMIFS('5. Kosten uitvoering project'!P:P,'5. Kosten uitvoering project'!E:E,SubsidieTabel!A28,'5. Kosten uitvoering project'!F:F,SubsidieTabel!B28)</f>
        <v>0</v>
      </c>
      <c r="G28" s="115">
        <f>SUMIFS('5. Kosten uitvoering project'!Q:Q,'5. Kosten uitvoering project'!E:E,SubsidieTabel!A28,'5. Kosten uitvoering project'!F:F,SubsidieTabel!B28)</f>
        <v>0</v>
      </c>
      <c r="H28" s="115">
        <f>SUMIFS('5. Kosten uitvoering project'!R:R,'5. Kosten uitvoering project'!E:E,SubsidieTabel!A28,'5. Kosten uitvoering project'!F:F,SubsidieTabel!B28)</f>
        <v>0</v>
      </c>
      <c r="I28" s="115">
        <f>SUMIFS('5. Kosten uitvoering project'!S:S,'5. Kosten uitvoering project'!E:E,SubsidieTabel!A28,'5. Kosten uitvoering project'!F:F,SubsidieTabel!B28)</f>
        <v>0</v>
      </c>
      <c r="J28" s="115">
        <f t="shared" si="0"/>
        <v>0</v>
      </c>
      <c r="K28" s="115">
        <f t="shared" si="1"/>
        <v>0</v>
      </c>
      <c r="L28" s="117" t="str">
        <f>IFERROR(VLOOKUP(A28,Lijsten!$AD:$AE,2,0),"")</f>
        <v/>
      </c>
      <c r="M28" s="115">
        <f t="shared" si="2"/>
        <v>0</v>
      </c>
      <c r="N28" s="115">
        <f t="shared" si="3"/>
        <v>0</v>
      </c>
      <c r="Q28" s="78" t="s">
        <v>107</v>
      </c>
      <c r="R28" s="84" t="str">
        <f t="shared" si="4"/>
        <v/>
      </c>
      <c r="S28" s="79">
        <f>IF(Tb_DBKosten[[#This Row],[Forfait]]=1,SUMIFS('8. Uitgaven betaalverzoek'!U:U,'8. Uitgaven betaalverzoek'!F:F,Tb_DBKosten[[#This Row],[KostenOmschrijving]],'8. Uitgaven betaalverzoek'!A:A,Tb_DBKosten[[#This Row],[Deelbetaling]]),0)</f>
        <v>0</v>
      </c>
      <c r="T28" s="79">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0">
        <v>0.23</v>
      </c>
      <c r="W28" s="79">
        <f>IF(Tb_DBKosten[[#This Row],[Forfait]]=1,SUMIFS('8. Uitgaven betaalverzoek'!W:W,'8. Uitgaven betaalverzoek'!F:F,Tb_DBKosten[[#This Row],[KostenOmschrijving]],'8. Uitgaven betaalverzoek'!A:A,Tb_DBKosten[[#This Row],[Deelbetaling]]),0)</f>
        <v>0</v>
      </c>
      <c r="X28" s="79">
        <f>IF(Tb_DBKosten[[#This Row],[Forfait]]=1,SUMIFS('8. Uitgaven betaalverzoek'!X:X,'8. Uitgaven betaalverzoek'!F:F,Tb_DBKosten[[#This Row],[KostenOmschrijving]],'8. Uitgaven betaalverzoek'!A:A,Tb_DBKosten[[#This Row],[Deelbetaling]]),0)</f>
        <v>0</v>
      </c>
      <c r="Y28" s="79">
        <f>Tb_DBKosten[[#This Row],[Deelbetaling_Aanvraag]]+Tb_DBKosten[[#This Row],[Forfait_Bedrag]]</f>
        <v>0</v>
      </c>
      <c r="Z28" s="79">
        <f>Tb_DBKosten[[#This Row],[Deelbetaling_Beoordeeld]]+Tb_DBKosten[[#This Row],[Forfait_Bedrag_Beoordeeld]]</f>
        <v>0</v>
      </c>
      <c r="AA28" t="str">
        <f>IF(Tb_DBKosten[[#This Row],[Forfait]]=0,"Dit kostentype hoeft u niet op te geven. Hiervoor wordt een forfait berekend.","")</f>
        <v/>
      </c>
    </row>
    <row r="29" spans="1:27" x14ac:dyDescent="0.25">
      <c r="A29" s="18"/>
      <c r="B29" s="18"/>
      <c r="C29" s="18" t="str">
        <f>IFERROR(VLOOKUP($B29,Tb_ProjectKosten[],4,0),"")</f>
        <v/>
      </c>
      <c r="D29" s="106" t="str" cm="1">
        <f t="array" ref="D29">IFERROR(INDEX(Tb_KostenOpties[],MATCH(B29,Tb_KostenOpties[KostenOptie],0),IFERROR(MATCH(Methode_Keuze,Tb_KostenOpties[#Headers],0),2)),"")</f>
        <v/>
      </c>
      <c r="E29" s="118">
        <f>IFERROR(VLOOKUP(B29,Tb_ProjectKosten[[#All],[KostenOmschrijving]:[Forfat_Percentage]],6,0),0)</f>
        <v>0</v>
      </c>
      <c r="F29" s="116">
        <f>SUMIFS('5. Kosten uitvoering project'!P:P,'5. Kosten uitvoering project'!E:E,SubsidieTabel!A29,'5. Kosten uitvoering project'!F:F,SubsidieTabel!B29)</f>
        <v>0</v>
      </c>
      <c r="G29" s="116">
        <f>SUMIFS('5. Kosten uitvoering project'!Q:Q,'5. Kosten uitvoering project'!E:E,SubsidieTabel!A29,'5. Kosten uitvoering project'!F:F,SubsidieTabel!B29)</f>
        <v>0</v>
      </c>
      <c r="H29" s="116">
        <f>SUMIFS('5. Kosten uitvoering project'!R:R,'5. Kosten uitvoering project'!E:E,SubsidieTabel!A29,'5. Kosten uitvoering project'!F:F,SubsidieTabel!B29)</f>
        <v>0</v>
      </c>
      <c r="I29" s="116">
        <f>SUMIFS('5. Kosten uitvoering project'!S:S,'5. Kosten uitvoering project'!E:E,SubsidieTabel!A29,'5. Kosten uitvoering project'!F:F,SubsidieTabel!B29)</f>
        <v>0</v>
      </c>
      <c r="J29" s="116">
        <f t="shared" si="0"/>
        <v>0</v>
      </c>
      <c r="K29" s="116">
        <f t="shared" si="1"/>
        <v>0</v>
      </c>
      <c r="L29" s="118" t="str">
        <f>IFERROR(VLOOKUP(A29,Lijsten!$AD:$AE,2,0),"")</f>
        <v/>
      </c>
      <c r="M29" s="116">
        <f t="shared" si="2"/>
        <v>0</v>
      </c>
      <c r="N29" s="116">
        <f t="shared" si="3"/>
        <v>0</v>
      </c>
      <c r="Q29" s="18" t="s">
        <v>3</v>
      </c>
      <c r="R29" t="str">
        <f t="shared" si="4"/>
        <v/>
      </c>
      <c r="S29" s="79">
        <f>IF(Tb_DBKosten[[#This Row],[Forfait]]=1,SUMIFS('8. Uitgaven betaalverzoek'!U:U,'8. Uitgaven betaalverzoek'!F:F,Tb_DBKosten[[#This Row],[KostenOmschrijving]],'8. Uitgaven betaalverzoek'!A:A,Tb_DBKosten[[#This Row],[Deelbetaling]]),0)</f>
        <v>0</v>
      </c>
      <c r="T29" s="79">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0">
        <v>0.23</v>
      </c>
      <c r="W29" s="79">
        <f>IF(Tb_DBKosten[[#This Row],[Forfait]]=1,SUMIFS('8. Uitgaven betaalverzoek'!W:W,'8. Uitgaven betaalverzoek'!F:F,Tb_DBKosten[[#This Row],[KostenOmschrijving]],'8. Uitgaven betaalverzoek'!A:A,Tb_DBKosten[[#This Row],[Deelbetaling]]),0)</f>
        <v>0</v>
      </c>
      <c r="X29" s="79">
        <f>IF(Tb_DBKosten[[#This Row],[Forfait]]=1,SUMIFS('8. Uitgaven betaalverzoek'!X:X,'8. Uitgaven betaalverzoek'!F:F,Tb_DBKosten[[#This Row],[KostenOmschrijving]],'8. Uitgaven betaalverzoek'!A:A,Tb_DBKosten[[#This Row],[Deelbetaling]]),0)</f>
        <v>0</v>
      </c>
      <c r="Y29" s="79">
        <f>Tb_DBKosten[[#This Row],[Deelbetaling_Aanvraag]]+Tb_DBKosten[[#This Row],[Forfait_Bedrag]]</f>
        <v>0</v>
      </c>
      <c r="Z29" s="79">
        <f>Tb_DBKosten[[#This Row],[Deelbetaling_Beoordeeld]]+Tb_DBKosten[[#This Row],[Forfait_Bedrag_Beoordeeld]]</f>
        <v>0</v>
      </c>
      <c r="AA29" t="str">
        <f>IF(Tb_DBKosten[[#This Row],[Forfait]]=0,"Dit kostentype hoeft u niet op te geven. Hiervoor wordt een forfait berekend.","")</f>
        <v/>
      </c>
    </row>
    <row r="30" spans="1:27" x14ac:dyDescent="0.25">
      <c r="A30" s="78"/>
      <c r="B30" s="78"/>
      <c r="C30" s="78" t="str">
        <f>IFERROR(VLOOKUP($B30,Tb_ProjectKosten[],4,0),"")</f>
        <v/>
      </c>
      <c r="D30" s="105" t="str" cm="1">
        <f t="array" ref="D30">IFERROR(INDEX(Tb_KostenOpties[],MATCH(B30,Tb_KostenOpties[KostenOptie],0),IFERROR(MATCH(Methode_Keuze,Tb_KostenOpties[#Headers],0),2)),"")</f>
        <v/>
      </c>
      <c r="E30" s="117">
        <f>IFERROR(VLOOKUP(B30,Tb_ProjectKosten[[#All],[KostenOmschrijving]:[Forfat_Percentage]],6,0),0)</f>
        <v>0</v>
      </c>
      <c r="F30" s="115">
        <f>SUMIFS('5. Kosten uitvoering project'!P:P,'5. Kosten uitvoering project'!E:E,SubsidieTabel!A30,'5. Kosten uitvoering project'!F:F,SubsidieTabel!B30)</f>
        <v>0</v>
      </c>
      <c r="G30" s="115">
        <f>SUMIFS('5. Kosten uitvoering project'!Q:Q,'5. Kosten uitvoering project'!E:E,SubsidieTabel!A30,'5. Kosten uitvoering project'!F:F,SubsidieTabel!B30)</f>
        <v>0</v>
      </c>
      <c r="H30" s="115">
        <f>SUMIFS('5. Kosten uitvoering project'!R:R,'5. Kosten uitvoering project'!E:E,SubsidieTabel!A30,'5. Kosten uitvoering project'!F:F,SubsidieTabel!B30)</f>
        <v>0</v>
      </c>
      <c r="I30" s="115">
        <f>SUMIFS('5. Kosten uitvoering project'!S:S,'5. Kosten uitvoering project'!E:E,SubsidieTabel!A30,'5. Kosten uitvoering project'!F:F,SubsidieTabel!B30)</f>
        <v>0</v>
      </c>
      <c r="J30" s="115">
        <f t="shared" si="0"/>
        <v>0</v>
      </c>
      <c r="K30" s="115">
        <f t="shared" si="1"/>
        <v>0</v>
      </c>
      <c r="L30" s="117" t="str">
        <f>IFERROR(VLOOKUP(A30,Lijsten!$AD:$AE,2,0),"")</f>
        <v/>
      </c>
      <c r="M30" s="115">
        <f t="shared" si="2"/>
        <v>0</v>
      </c>
      <c r="N30" s="115">
        <f t="shared" si="3"/>
        <v>0</v>
      </c>
    </row>
    <row r="31" spans="1:27" x14ac:dyDescent="0.25">
      <c r="A31" s="18"/>
      <c r="B31" s="18"/>
      <c r="C31" s="18" t="str">
        <f>IFERROR(VLOOKUP($B31,Tb_ProjectKosten[],4,0),"")</f>
        <v/>
      </c>
      <c r="D31" s="106" t="str" cm="1">
        <f t="array" ref="D31">IFERROR(INDEX(Tb_KostenOpties[],MATCH(B31,Tb_KostenOpties[KostenOptie],0),IFERROR(MATCH(Methode_Keuze,Tb_KostenOpties[#Headers],0),2)),"")</f>
        <v/>
      </c>
      <c r="E31" s="118">
        <f>IFERROR(VLOOKUP(B31,Tb_ProjectKosten[[#All],[KostenOmschrijving]:[Forfat_Percentage]],6,0),0)</f>
        <v>0</v>
      </c>
      <c r="F31" s="116">
        <f>SUMIFS('5. Kosten uitvoering project'!P:P,'5. Kosten uitvoering project'!E:E,SubsidieTabel!A31,'5. Kosten uitvoering project'!F:F,SubsidieTabel!B31)</f>
        <v>0</v>
      </c>
      <c r="G31" s="116">
        <f>SUMIFS('5. Kosten uitvoering project'!Q:Q,'5. Kosten uitvoering project'!E:E,SubsidieTabel!A31,'5. Kosten uitvoering project'!F:F,SubsidieTabel!B31)</f>
        <v>0</v>
      </c>
      <c r="H31" s="116">
        <f>SUMIFS('5. Kosten uitvoering project'!R:R,'5. Kosten uitvoering project'!E:E,SubsidieTabel!A31,'5. Kosten uitvoering project'!F:F,SubsidieTabel!B31)</f>
        <v>0</v>
      </c>
      <c r="I31" s="116">
        <f>SUMIFS('5. Kosten uitvoering project'!S:S,'5. Kosten uitvoering project'!E:E,SubsidieTabel!A31,'5. Kosten uitvoering project'!F:F,SubsidieTabel!B31)</f>
        <v>0</v>
      </c>
      <c r="J31" s="116">
        <f t="shared" si="0"/>
        <v>0</v>
      </c>
      <c r="K31" s="116">
        <f t="shared" si="1"/>
        <v>0</v>
      </c>
      <c r="L31" s="118" t="str">
        <f>IFERROR(VLOOKUP(A31,Lijsten!$AD:$AE,2,0),"")</f>
        <v/>
      </c>
      <c r="M31" s="116">
        <f t="shared" si="2"/>
        <v>0</v>
      </c>
      <c r="N31" s="116">
        <f t="shared" si="3"/>
        <v>0</v>
      </c>
      <c r="Q31" t="s">
        <v>92</v>
      </c>
      <c r="R31" t="s">
        <v>110</v>
      </c>
      <c r="S31" t="s">
        <v>112</v>
      </c>
      <c r="T31" t="s">
        <v>113</v>
      </c>
      <c r="U31" t="s">
        <v>40</v>
      </c>
      <c r="V31" t="s">
        <v>96</v>
      </c>
      <c r="W31" t="s">
        <v>97</v>
      </c>
      <c r="X31" t="s">
        <v>98</v>
      </c>
      <c r="Y31" t="s">
        <v>198</v>
      </c>
      <c r="Z31" t="s">
        <v>199</v>
      </c>
      <c r="AA31" t="s">
        <v>56</v>
      </c>
    </row>
    <row r="32" spans="1:27" x14ac:dyDescent="0.25">
      <c r="A32" s="78"/>
      <c r="B32" s="78"/>
      <c r="C32" s="78" t="str">
        <f>IFERROR(VLOOKUP($B32,Tb_ProjectKosten[],4,0),"")</f>
        <v/>
      </c>
      <c r="D32" s="105" t="str" cm="1">
        <f t="array" ref="D32">IFERROR(INDEX(Tb_KostenOpties[],MATCH(B32,Tb_KostenOpties[KostenOptie],0),IFERROR(MATCH(Methode_Keuze,Tb_KostenOpties[#Headers],0),2)),"")</f>
        <v/>
      </c>
      <c r="E32" s="117">
        <f>IFERROR(VLOOKUP(B32,Tb_ProjectKosten[[#All],[KostenOmschrijving]:[Forfat_Percentage]],6,0),0)</f>
        <v>0</v>
      </c>
      <c r="F32" s="115">
        <f>SUMIFS('5. Kosten uitvoering project'!P:P,'5. Kosten uitvoering project'!E:E,SubsidieTabel!A32,'5. Kosten uitvoering project'!F:F,SubsidieTabel!B32)</f>
        <v>0</v>
      </c>
      <c r="G32" s="115">
        <f>SUMIFS('5. Kosten uitvoering project'!Q:Q,'5. Kosten uitvoering project'!E:E,SubsidieTabel!A32,'5. Kosten uitvoering project'!F:F,SubsidieTabel!B32)</f>
        <v>0</v>
      </c>
      <c r="H32" s="115">
        <f>SUMIFS('5. Kosten uitvoering project'!R:R,'5. Kosten uitvoering project'!E:E,SubsidieTabel!A32,'5. Kosten uitvoering project'!F:F,SubsidieTabel!B32)</f>
        <v>0</v>
      </c>
      <c r="I32" s="115">
        <f>SUMIFS('5. Kosten uitvoering project'!S:S,'5. Kosten uitvoering project'!E:E,SubsidieTabel!A32,'5. Kosten uitvoering project'!F:F,SubsidieTabel!B32)</f>
        <v>0</v>
      </c>
      <c r="J32" s="115">
        <f t="shared" si="0"/>
        <v>0</v>
      </c>
      <c r="K32" s="115">
        <f t="shared" si="1"/>
        <v>0</v>
      </c>
      <c r="L32" s="117" t="str">
        <f>IFERROR(VLOOKUP(A32,Lijsten!$AD:$AE,2,0),"")</f>
        <v/>
      </c>
      <c r="M32" s="115">
        <f t="shared" si="2"/>
        <v>0</v>
      </c>
      <c r="N32" s="115">
        <f t="shared" si="3"/>
        <v>0</v>
      </c>
      <c r="Q32" s="78" t="s">
        <v>8</v>
      </c>
      <c r="R32" s="84" t="str">
        <f t="shared" ref="R32:R39" si="5">IF(Keuze_DB_Nr_BEO&lt;&gt;"",Keuze_DB_Nr_BEO,"")</f>
        <v/>
      </c>
      <c r="S32" s="79">
        <f>IF(Tb_DBKostenBEO[[#This Row],[Forfait]]=1,SUMIFS('8. Uitgaven betaalverzoek'!U:U,'8. Uitgaven betaalverzoek'!F:F,Tb_DBKostenBEO[[#This Row],[KostenOmschrijving]],'8. Uitgaven betaalverzoek'!A:A,Tb_DBKostenBEO[[#This Row],[Deelbetaling]]),0)</f>
        <v>0</v>
      </c>
      <c r="T32" s="79">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0">
        <v>0.4</v>
      </c>
      <c r="W32" s="79">
        <f>IF(Tb_DBKostenBEO[[#This Row],[Forfait]]=1,SUMIFS('8. Uitgaven betaalverzoek'!W:W,'8. Uitgaven betaalverzoek'!F:F,Tb_DBKostenBEO[[#This Row],[KostenOmschrijving]],'8. Uitgaven betaalverzoek'!A:A,Tb_DBKostenBEO[[#This Row],[Deelbetaling]]),0)</f>
        <v>0</v>
      </c>
      <c r="X32" s="79">
        <f>IF(Tb_DBKostenBEO[[#This Row],[Forfait]]=1,SUMIFS('8. Uitgaven betaalverzoek'!X:X,'8. Uitgaven betaalverzoek'!F:F,Tb_DBKostenBEO[[#This Row],[KostenOmschrijving]],'8. Uitgaven betaalverzoek'!A:A,Tb_DBKostenBEO[[#This Row],[Deelbetaling]]),0)</f>
        <v>0</v>
      </c>
      <c r="Y32" s="79">
        <f>Tb_DBKostenBEO[[#This Row],[Deelbetaling_Aanvraag]]+Tb_DBKostenBEO[[#This Row],[Forfait_Bedrag]]</f>
        <v>0</v>
      </c>
      <c r="Z32" s="79">
        <f>Tb_DBKostenBEO[[#This Row],[Deelbetaling_Beoordeeld]]+Tb_DBKostenBEO[[#This Row],[Forfait_Bedrag_Beoordeeld]]</f>
        <v>0</v>
      </c>
      <c r="AA32" t="str">
        <f>IF(Tb_DBKostenBEO[[#This Row],[Forfait]]=0,"Dit kostentype hoeft u niet op te geven. Hiervoor wordt een forfait berekend.","")</f>
        <v/>
      </c>
    </row>
    <row r="33" spans="1:27" x14ac:dyDescent="0.25">
      <c r="A33" s="18"/>
      <c r="B33" s="18"/>
      <c r="C33" s="18" t="str">
        <f>IFERROR(VLOOKUP($B33,Tb_ProjectKosten[],4,0),"")</f>
        <v/>
      </c>
      <c r="D33" s="106" t="str" cm="1">
        <f t="array" ref="D33">IFERROR(INDEX(Tb_KostenOpties[],MATCH(B33,Tb_KostenOpties[KostenOptie],0),IFERROR(MATCH(Methode_Keuze,Tb_KostenOpties[#Headers],0),2)),"")</f>
        <v/>
      </c>
      <c r="E33" s="118">
        <f>IFERROR(VLOOKUP(B33,Tb_ProjectKosten[[#All],[KostenOmschrijving]:[Forfat_Percentage]],6,0),0)</f>
        <v>0</v>
      </c>
      <c r="F33" s="116">
        <f>SUMIFS('5. Kosten uitvoering project'!P:P,'5. Kosten uitvoering project'!E:E,SubsidieTabel!A33,'5. Kosten uitvoering project'!F:F,SubsidieTabel!B33)</f>
        <v>0</v>
      </c>
      <c r="G33" s="116">
        <f>SUMIFS('5. Kosten uitvoering project'!Q:Q,'5. Kosten uitvoering project'!E:E,SubsidieTabel!A33,'5. Kosten uitvoering project'!F:F,SubsidieTabel!B33)</f>
        <v>0</v>
      </c>
      <c r="H33" s="116">
        <f>SUMIFS('5. Kosten uitvoering project'!R:R,'5. Kosten uitvoering project'!E:E,SubsidieTabel!A33,'5. Kosten uitvoering project'!F:F,SubsidieTabel!B33)</f>
        <v>0</v>
      </c>
      <c r="I33" s="116">
        <f>SUMIFS('5. Kosten uitvoering project'!S:S,'5. Kosten uitvoering project'!E:E,SubsidieTabel!A33,'5. Kosten uitvoering project'!F:F,SubsidieTabel!B33)</f>
        <v>0</v>
      </c>
      <c r="J33" s="116">
        <f t="shared" si="0"/>
        <v>0</v>
      </c>
      <c r="K33" s="116">
        <f t="shared" si="1"/>
        <v>0</v>
      </c>
      <c r="L33" s="118" t="str">
        <f>IFERROR(VLOOKUP(A33,Lijsten!$AD:$AE,2,0),"")</f>
        <v/>
      </c>
      <c r="M33" s="116">
        <f t="shared" si="2"/>
        <v>0</v>
      </c>
      <c r="N33" s="116">
        <f t="shared" si="3"/>
        <v>0</v>
      </c>
      <c r="Q33" s="18" t="s">
        <v>91</v>
      </c>
      <c r="R33" t="str">
        <f t="shared" si="5"/>
        <v/>
      </c>
      <c r="S33" s="79">
        <f>IF(Tb_DBKostenBEO[[#This Row],[Forfait]]=1,SUMIFS('8. Uitgaven betaalverzoek'!U:U,'8. Uitgaven betaalverzoek'!F:F,Tb_DBKostenBEO[[#This Row],[KostenOmschrijving]],'8. Uitgaven betaalverzoek'!A:A,Tb_DBKostenBEO[[#This Row],[Deelbetaling]]),0)</f>
        <v>0</v>
      </c>
      <c r="T33" s="79">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0">
        <v>0</v>
      </c>
      <c r="W33" s="79">
        <f>IF(Tb_DBKostenBEO[[#This Row],[Forfait]]=1,SUMIFS('8. Uitgaven betaalverzoek'!W:W,'8. Uitgaven betaalverzoek'!F:F,Tb_DBKostenBEO[[#This Row],[KostenOmschrijving]],'8. Uitgaven betaalverzoek'!A:A,Tb_DBKostenBEO[[#This Row],[Deelbetaling]]),0)</f>
        <v>0</v>
      </c>
      <c r="X33" s="79">
        <f>IF(Tb_DBKostenBEO[[#This Row],[Forfait]]=1,SUMIFS('8. Uitgaven betaalverzoek'!X:X,'8. Uitgaven betaalverzoek'!F:F,Tb_DBKostenBEO[[#This Row],[KostenOmschrijving]],'8. Uitgaven betaalverzoek'!A:A,Tb_DBKostenBEO[[#This Row],[Deelbetaling]]),0)</f>
        <v>0</v>
      </c>
      <c r="Y33" s="79">
        <f>Tb_DBKostenBEO[[#This Row],[Deelbetaling_Aanvraag]]+Tb_DBKostenBEO[[#This Row],[Forfait_Bedrag]]</f>
        <v>0</v>
      </c>
      <c r="Z33" s="79">
        <f>Tb_DBKostenBEO[[#This Row],[Deelbetaling_Beoordeeld]]+Tb_DBKostenBEO[[#This Row],[Forfait_Bedrag_Beoordeeld]]</f>
        <v>0</v>
      </c>
      <c r="AA33" t="str">
        <f>IF(Tb_DBKostenBEO[[#This Row],[Forfait]]=0,"Dit kostentype hoeft u niet op te geven. Hiervoor wordt een forfait berekend.","")</f>
        <v/>
      </c>
    </row>
    <row r="34" spans="1:27" x14ac:dyDescent="0.25">
      <c r="A34" s="78"/>
      <c r="B34" s="78"/>
      <c r="C34" s="78" t="str">
        <f>IFERROR(VLOOKUP($B34,Tb_ProjectKosten[],4,0),"")</f>
        <v/>
      </c>
      <c r="D34" s="105" t="str" cm="1">
        <f t="array" ref="D34">IFERROR(INDEX(Tb_KostenOpties[],MATCH(B34,Tb_KostenOpties[KostenOptie],0),IFERROR(MATCH(Methode_Keuze,Tb_KostenOpties[#Headers],0),2)),"")</f>
        <v/>
      </c>
      <c r="E34" s="117">
        <f>IFERROR(VLOOKUP(B34,Tb_ProjectKosten[[#All],[KostenOmschrijving]:[Forfat_Percentage]],6,0),0)</f>
        <v>0</v>
      </c>
      <c r="F34" s="115">
        <f>SUMIFS('5. Kosten uitvoering project'!P:P,'5. Kosten uitvoering project'!E:E,SubsidieTabel!A34,'5. Kosten uitvoering project'!F:F,SubsidieTabel!B34)</f>
        <v>0</v>
      </c>
      <c r="G34" s="115">
        <f>SUMIFS('5. Kosten uitvoering project'!Q:Q,'5. Kosten uitvoering project'!E:E,SubsidieTabel!A34,'5. Kosten uitvoering project'!F:F,SubsidieTabel!B34)</f>
        <v>0</v>
      </c>
      <c r="H34" s="115">
        <f>SUMIFS('5. Kosten uitvoering project'!R:R,'5. Kosten uitvoering project'!E:E,SubsidieTabel!A34,'5. Kosten uitvoering project'!F:F,SubsidieTabel!B34)</f>
        <v>0</v>
      </c>
      <c r="I34" s="115">
        <f>SUMIFS('5. Kosten uitvoering project'!S:S,'5. Kosten uitvoering project'!E:E,SubsidieTabel!A34,'5. Kosten uitvoering project'!F:F,SubsidieTabel!B34)</f>
        <v>0</v>
      </c>
      <c r="J34" s="115">
        <f t="shared" si="0"/>
        <v>0</v>
      </c>
      <c r="K34" s="115">
        <f t="shared" si="1"/>
        <v>0</v>
      </c>
      <c r="L34" s="117" t="str">
        <f>IFERROR(VLOOKUP(A34,Lijsten!$AD:$AE,2,0),"")</f>
        <v/>
      </c>
      <c r="M34" s="115">
        <f t="shared" si="2"/>
        <v>0</v>
      </c>
      <c r="N34" s="115">
        <f t="shared" si="3"/>
        <v>0</v>
      </c>
      <c r="Q34" s="78" t="s">
        <v>28</v>
      </c>
      <c r="R34" s="84" t="str">
        <f t="shared" si="5"/>
        <v/>
      </c>
      <c r="S34" s="79">
        <f>IF(Tb_DBKostenBEO[[#This Row],[Forfait]]=1,SUMIFS('8. Uitgaven betaalverzoek'!U:U,'8. Uitgaven betaalverzoek'!F:F,Tb_DBKostenBEO[[#This Row],[KostenOmschrijving]],'8. Uitgaven betaalverzoek'!A:A,Tb_DBKostenBEO[[#This Row],[Deelbetaling]]),0)</f>
        <v>0</v>
      </c>
      <c r="T34" s="79">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0">
        <v>0.4</v>
      </c>
      <c r="W34" s="79">
        <f>IF(Tb_DBKostenBEO[[#This Row],[Forfait]]=1,SUMIFS('8. Uitgaven betaalverzoek'!W:W,'8. Uitgaven betaalverzoek'!F:F,Tb_DBKostenBEO[[#This Row],[KostenOmschrijving]],'8. Uitgaven betaalverzoek'!A:A,Tb_DBKostenBEO[[#This Row],[Deelbetaling]]),0)</f>
        <v>0</v>
      </c>
      <c r="X34" s="79">
        <f>IF(Tb_DBKostenBEO[[#This Row],[Forfait]]=1,SUMIFS('8. Uitgaven betaalverzoek'!X:X,'8. Uitgaven betaalverzoek'!F:F,Tb_DBKostenBEO[[#This Row],[KostenOmschrijving]],'8. Uitgaven betaalverzoek'!A:A,Tb_DBKostenBEO[[#This Row],[Deelbetaling]]),0)</f>
        <v>0</v>
      </c>
      <c r="Y34" s="79">
        <f>Tb_DBKostenBEO[[#This Row],[Deelbetaling_Aanvraag]]+Tb_DBKostenBEO[[#This Row],[Forfait_Bedrag]]</f>
        <v>0</v>
      </c>
      <c r="Z34" s="79">
        <f>Tb_DBKostenBEO[[#This Row],[Deelbetaling_Beoordeeld]]+Tb_DBKostenBEO[[#This Row],[Forfait_Bedrag_Beoordeeld]]</f>
        <v>0</v>
      </c>
      <c r="AA34" t="str">
        <f>IF(Tb_DBKostenBEO[[#This Row],[Forfait]]=0,"Dit kostentype hoeft u niet op te geven. Hiervoor wordt een forfait berekend.","")</f>
        <v/>
      </c>
    </row>
    <row r="35" spans="1:27" x14ac:dyDescent="0.25">
      <c r="A35" s="18"/>
      <c r="B35" s="18"/>
      <c r="C35" s="18" t="str">
        <f>IFERROR(VLOOKUP($B35,Tb_ProjectKosten[],4,0),"")</f>
        <v/>
      </c>
      <c r="D35" s="106" t="str" cm="1">
        <f t="array" ref="D35">IFERROR(INDEX(Tb_KostenOpties[],MATCH(B35,Tb_KostenOpties[KostenOptie],0),IFERROR(MATCH(Methode_Keuze,Tb_KostenOpties[#Headers],0),2)),"")</f>
        <v/>
      </c>
      <c r="E35" s="118">
        <f>IFERROR(VLOOKUP(B35,Tb_ProjectKosten[[#All],[KostenOmschrijving]:[Forfat_Percentage]],6,0),0)</f>
        <v>0</v>
      </c>
      <c r="F35" s="116">
        <f>SUMIFS('5. Kosten uitvoering project'!P:P,'5. Kosten uitvoering project'!E:E,SubsidieTabel!A35,'5. Kosten uitvoering project'!F:F,SubsidieTabel!B35)</f>
        <v>0</v>
      </c>
      <c r="G35" s="116">
        <f>SUMIFS('5. Kosten uitvoering project'!Q:Q,'5. Kosten uitvoering project'!E:E,SubsidieTabel!A35,'5. Kosten uitvoering project'!F:F,SubsidieTabel!B35)</f>
        <v>0</v>
      </c>
      <c r="H35" s="116">
        <f>SUMIFS('5. Kosten uitvoering project'!R:R,'5. Kosten uitvoering project'!E:E,SubsidieTabel!A35,'5. Kosten uitvoering project'!F:F,SubsidieTabel!B35)</f>
        <v>0</v>
      </c>
      <c r="I35" s="116">
        <f>SUMIFS('5. Kosten uitvoering project'!S:S,'5. Kosten uitvoering project'!E:E,SubsidieTabel!A35,'5. Kosten uitvoering project'!F:F,SubsidieTabel!B35)</f>
        <v>0</v>
      </c>
      <c r="J35" s="116">
        <f t="shared" si="0"/>
        <v>0</v>
      </c>
      <c r="K35" s="116">
        <f t="shared" si="1"/>
        <v>0</v>
      </c>
      <c r="L35" s="118" t="str">
        <f>IFERROR(VLOOKUP(A35,Lijsten!$AD:$AE,2,0),"")</f>
        <v/>
      </c>
      <c r="M35" s="116">
        <f t="shared" si="2"/>
        <v>0</v>
      </c>
      <c r="N35" s="116">
        <f t="shared" si="3"/>
        <v>0</v>
      </c>
      <c r="Q35" s="18" t="s">
        <v>27</v>
      </c>
      <c r="R35" t="str">
        <f t="shared" si="5"/>
        <v/>
      </c>
      <c r="S35" s="79">
        <f>IF(Tb_DBKostenBEO[[#This Row],[Forfait]]=1,SUMIFS('8. Uitgaven betaalverzoek'!U:U,'8. Uitgaven betaalverzoek'!F:F,Tb_DBKostenBEO[[#This Row],[KostenOmschrijving]],'8. Uitgaven betaalverzoek'!A:A,Tb_DBKostenBEO[[#This Row],[Deelbetaling]]),0)</f>
        <v>0</v>
      </c>
      <c r="T35" s="79">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0">
        <v>0.23</v>
      </c>
      <c r="W35" s="79">
        <f>IF(Tb_DBKostenBEO[[#This Row],[Forfait]]=1,SUMIFS('8. Uitgaven betaalverzoek'!W:W,'8. Uitgaven betaalverzoek'!F:F,Tb_DBKostenBEO[[#This Row],[KostenOmschrijving]],'8. Uitgaven betaalverzoek'!A:A,Tb_DBKostenBEO[[#This Row],[Deelbetaling]]),0)</f>
        <v>0</v>
      </c>
      <c r="X35" s="79">
        <f>IF(Tb_DBKostenBEO[[#This Row],[Forfait]]=1,SUMIFS('8. Uitgaven betaalverzoek'!X:X,'8. Uitgaven betaalverzoek'!F:F,Tb_DBKostenBEO[[#This Row],[KostenOmschrijving]],'8. Uitgaven betaalverzoek'!A:A,Tb_DBKostenBEO[[#This Row],[Deelbetaling]]),0)</f>
        <v>0</v>
      </c>
      <c r="Y35" s="79">
        <f>Tb_DBKostenBEO[[#This Row],[Deelbetaling_Aanvraag]]+Tb_DBKostenBEO[[#This Row],[Forfait_Bedrag]]</f>
        <v>0</v>
      </c>
      <c r="Z35" s="79">
        <f>Tb_DBKostenBEO[[#This Row],[Deelbetaling_Beoordeeld]]+Tb_DBKostenBEO[[#This Row],[Forfait_Bedrag_Beoordeeld]]</f>
        <v>0</v>
      </c>
      <c r="AA35" t="str">
        <f>IF(Tb_DBKostenBEO[[#This Row],[Forfait]]=0,"Dit kostentype hoeft u niet op te geven. Hiervoor wordt een forfait berekend.","")</f>
        <v/>
      </c>
    </row>
    <row r="36" spans="1:27" x14ac:dyDescent="0.25">
      <c r="A36" s="78"/>
      <c r="B36" s="78"/>
      <c r="C36" s="78" t="str">
        <f>IFERROR(VLOOKUP($B36,Tb_ProjectKosten[],4,0),"")</f>
        <v/>
      </c>
      <c r="D36" s="105" t="str" cm="1">
        <f t="array" ref="D36">IFERROR(INDEX(Tb_KostenOpties[],MATCH(B36,Tb_KostenOpties[KostenOptie],0),IFERROR(MATCH(Methode_Keuze,Tb_KostenOpties[#Headers],0),2)),"")</f>
        <v/>
      </c>
      <c r="E36" s="117">
        <f>IFERROR(VLOOKUP(B36,Tb_ProjectKosten[[#All],[KostenOmschrijving]:[Forfat_Percentage]],6,0),0)</f>
        <v>0</v>
      </c>
      <c r="F36" s="115">
        <f>SUMIFS('5. Kosten uitvoering project'!P:P,'5. Kosten uitvoering project'!E:E,SubsidieTabel!A36,'5. Kosten uitvoering project'!F:F,SubsidieTabel!B36)</f>
        <v>0</v>
      </c>
      <c r="G36" s="115">
        <f>SUMIFS('5. Kosten uitvoering project'!Q:Q,'5. Kosten uitvoering project'!E:E,SubsidieTabel!A36,'5. Kosten uitvoering project'!F:F,SubsidieTabel!B36)</f>
        <v>0</v>
      </c>
      <c r="H36" s="115">
        <f>SUMIFS('5. Kosten uitvoering project'!R:R,'5. Kosten uitvoering project'!E:E,SubsidieTabel!A36,'5. Kosten uitvoering project'!F:F,SubsidieTabel!B36)</f>
        <v>0</v>
      </c>
      <c r="I36" s="115">
        <f>SUMIFS('5. Kosten uitvoering project'!S:S,'5. Kosten uitvoering project'!E:E,SubsidieTabel!A36,'5. Kosten uitvoering project'!F:F,SubsidieTabel!B36)</f>
        <v>0</v>
      </c>
      <c r="J36" s="115">
        <f t="shared" si="0"/>
        <v>0</v>
      </c>
      <c r="K36" s="115">
        <f t="shared" si="1"/>
        <v>0</v>
      </c>
      <c r="L36" s="117" t="str">
        <f>IFERROR(VLOOKUP(A36,Lijsten!$AD:$AE,2,0),"")</f>
        <v/>
      </c>
      <c r="M36" s="115">
        <f t="shared" si="2"/>
        <v>0</v>
      </c>
      <c r="N36" s="115">
        <f t="shared" si="3"/>
        <v>0</v>
      </c>
      <c r="Q36" s="78" t="s">
        <v>11</v>
      </c>
      <c r="R36" s="84" t="str">
        <f t="shared" si="5"/>
        <v/>
      </c>
      <c r="S36" s="79">
        <f>IF(Tb_DBKostenBEO[[#This Row],[Forfait]]=1,SUMIFS('8. Uitgaven betaalverzoek'!U:U,'8. Uitgaven betaalverzoek'!F:F,Tb_DBKostenBEO[[#This Row],[KostenOmschrijving]],'8. Uitgaven betaalverzoek'!A:A,Tb_DBKostenBEO[[#This Row],[Deelbetaling]]),0)</f>
        <v>0</v>
      </c>
      <c r="T36" s="79">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0">
        <v>0.23</v>
      </c>
      <c r="W36" s="79">
        <f>IF(Tb_DBKostenBEO[[#This Row],[Forfait]]=1,SUMIFS('8. Uitgaven betaalverzoek'!W:W,'8. Uitgaven betaalverzoek'!F:F,Tb_DBKostenBEO[[#This Row],[KostenOmschrijving]],'8. Uitgaven betaalverzoek'!A:A,Tb_DBKostenBEO[[#This Row],[Deelbetaling]]),0)</f>
        <v>0</v>
      </c>
      <c r="X36" s="79">
        <f>IF(Tb_DBKostenBEO[[#This Row],[Forfait]]=1,SUMIFS('8. Uitgaven betaalverzoek'!X:X,'8. Uitgaven betaalverzoek'!F:F,Tb_DBKostenBEO[[#This Row],[KostenOmschrijving]],'8. Uitgaven betaalverzoek'!A:A,Tb_DBKostenBEO[[#This Row],[Deelbetaling]]),0)</f>
        <v>0</v>
      </c>
      <c r="Y36" s="79">
        <f>Tb_DBKostenBEO[[#This Row],[Deelbetaling_Aanvraag]]+Tb_DBKostenBEO[[#This Row],[Forfait_Bedrag]]</f>
        <v>0</v>
      </c>
      <c r="Z36" s="79">
        <f>Tb_DBKostenBEO[[#This Row],[Deelbetaling_Beoordeeld]]+Tb_DBKostenBEO[[#This Row],[Forfait_Bedrag_Beoordeeld]]</f>
        <v>0</v>
      </c>
      <c r="AA36" t="str">
        <f>IF(Tb_DBKostenBEO[[#This Row],[Forfait]]=0,"Dit kostentype hoeft u niet op te geven. Hiervoor wordt een forfait berekend.","")</f>
        <v/>
      </c>
    </row>
    <row r="37" spans="1:27" x14ac:dyDescent="0.25">
      <c r="A37" s="18"/>
      <c r="B37" s="18"/>
      <c r="C37" s="18" t="str">
        <f>IFERROR(VLOOKUP($B37,Tb_ProjectKosten[],4,0),"")</f>
        <v/>
      </c>
      <c r="D37" s="106" t="str" cm="1">
        <f t="array" ref="D37">IFERROR(INDEX(Tb_KostenOpties[],MATCH(B37,Tb_KostenOpties[KostenOptie],0),IFERROR(MATCH(Methode_Keuze,Tb_KostenOpties[#Headers],0),2)),"")</f>
        <v/>
      </c>
      <c r="E37" s="118">
        <f>IFERROR(VLOOKUP(B37,Tb_ProjectKosten[[#All],[KostenOmschrijving]:[Forfat_Percentage]],6,0),0)</f>
        <v>0</v>
      </c>
      <c r="F37" s="116">
        <f>SUMIFS('5. Kosten uitvoering project'!P:P,'5. Kosten uitvoering project'!E:E,SubsidieTabel!A37,'5. Kosten uitvoering project'!F:F,SubsidieTabel!B37)</f>
        <v>0</v>
      </c>
      <c r="G37" s="116">
        <f>SUMIFS('5. Kosten uitvoering project'!Q:Q,'5. Kosten uitvoering project'!E:E,SubsidieTabel!A37,'5. Kosten uitvoering project'!F:F,SubsidieTabel!B37)</f>
        <v>0</v>
      </c>
      <c r="H37" s="116">
        <f>SUMIFS('5. Kosten uitvoering project'!R:R,'5. Kosten uitvoering project'!E:E,SubsidieTabel!A37,'5. Kosten uitvoering project'!F:F,SubsidieTabel!B37)</f>
        <v>0</v>
      </c>
      <c r="I37" s="116">
        <f>SUMIFS('5. Kosten uitvoering project'!S:S,'5. Kosten uitvoering project'!E:E,SubsidieTabel!A37,'5. Kosten uitvoering project'!F:F,SubsidieTabel!B37)</f>
        <v>0</v>
      </c>
      <c r="J37" s="116">
        <f t="shared" si="0"/>
        <v>0</v>
      </c>
      <c r="K37" s="116">
        <f t="shared" si="1"/>
        <v>0</v>
      </c>
      <c r="L37" s="118" t="str">
        <f>IFERROR(VLOOKUP(A37,Lijsten!$AD:$AE,2,0),"")</f>
        <v/>
      </c>
      <c r="M37" s="116">
        <f t="shared" si="2"/>
        <v>0</v>
      </c>
      <c r="N37" s="116">
        <f t="shared" si="3"/>
        <v>0</v>
      </c>
      <c r="Q37" s="18" t="s">
        <v>106</v>
      </c>
      <c r="R37" t="str">
        <f t="shared" si="5"/>
        <v/>
      </c>
      <c r="S37" s="79">
        <f>IF(Tb_DBKostenBEO[[#This Row],[Forfait]]=1,SUMIFS('8. Uitgaven betaalverzoek'!U:U,'8. Uitgaven betaalverzoek'!F:F,Tb_DBKostenBEO[[#This Row],[KostenOmschrijving]],'8. Uitgaven betaalverzoek'!A:A,Tb_DBKostenBEO[[#This Row],[Deelbetaling]]),0)</f>
        <v>0</v>
      </c>
      <c r="T37" s="79">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0">
        <v>0.23</v>
      </c>
      <c r="W37" s="79">
        <f>IF(Tb_DBKostenBEO[[#This Row],[Forfait]]=1,SUMIFS('8. Uitgaven betaalverzoek'!W:W,'8. Uitgaven betaalverzoek'!F:F,Tb_DBKostenBEO[[#This Row],[KostenOmschrijving]],'8. Uitgaven betaalverzoek'!A:A,Tb_DBKostenBEO[[#This Row],[Deelbetaling]]),0)</f>
        <v>0</v>
      </c>
      <c r="X37" s="79">
        <f>IF(Tb_DBKostenBEO[[#This Row],[Forfait]]=1,SUMIFS('8. Uitgaven betaalverzoek'!X:X,'8. Uitgaven betaalverzoek'!F:F,Tb_DBKostenBEO[[#This Row],[KostenOmschrijving]],'8. Uitgaven betaalverzoek'!A:A,Tb_DBKostenBEO[[#This Row],[Deelbetaling]]),0)</f>
        <v>0</v>
      </c>
      <c r="Y37" s="79">
        <f>Tb_DBKostenBEO[[#This Row],[Deelbetaling_Aanvraag]]+Tb_DBKostenBEO[[#This Row],[Forfait_Bedrag]]</f>
        <v>0</v>
      </c>
      <c r="Z37" s="79">
        <f>Tb_DBKostenBEO[[#This Row],[Deelbetaling_Beoordeeld]]+Tb_DBKostenBEO[[#This Row],[Forfait_Bedrag_Beoordeeld]]</f>
        <v>0</v>
      </c>
      <c r="AA37" t="str">
        <f>IF(Tb_DBKostenBEO[[#This Row],[Forfait]]=0,"Dit kostentype hoeft u niet op te geven. Hiervoor wordt een forfait berekend.","")</f>
        <v/>
      </c>
    </row>
    <row r="38" spans="1:27" x14ac:dyDescent="0.25">
      <c r="A38" s="78"/>
      <c r="B38" s="78"/>
      <c r="C38" s="78" t="str">
        <f>IFERROR(VLOOKUP($B38,Tb_ProjectKosten[],4,0),"")</f>
        <v/>
      </c>
      <c r="D38" s="105" t="str" cm="1">
        <f t="array" ref="D38">IFERROR(INDEX(Tb_KostenOpties[],MATCH(B38,Tb_KostenOpties[KostenOptie],0),IFERROR(MATCH(Methode_Keuze,Tb_KostenOpties[#Headers],0),2)),"")</f>
        <v/>
      </c>
      <c r="E38" s="117">
        <f>IFERROR(VLOOKUP(B38,Tb_ProjectKosten[[#All],[KostenOmschrijving]:[Forfat_Percentage]],6,0),0)</f>
        <v>0</v>
      </c>
      <c r="F38" s="115">
        <f>SUMIFS('5. Kosten uitvoering project'!P:P,'5. Kosten uitvoering project'!E:E,SubsidieTabel!A38,'5. Kosten uitvoering project'!F:F,SubsidieTabel!B38)</f>
        <v>0</v>
      </c>
      <c r="G38" s="115">
        <f>SUMIFS('5. Kosten uitvoering project'!Q:Q,'5. Kosten uitvoering project'!E:E,SubsidieTabel!A38,'5. Kosten uitvoering project'!F:F,SubsidieTabel!B38)</f>
        <v>0</v>
      </c>
      <c r="H38" s="115">
        <f>SUMIFS('5. Kosten uitvoering project'!R:R,'5. Kosten uitvoering project'!E:E,SubsidieTabel!A38,'5. Kosten uitvoering project'!F:F,SubsidieTabel!B38)</f>
        <v>0</v>
      </c>
      <c r="I38" s="115">
        <f>SUMIFS('5. Kosten uitvoering project'!S:S,'5. Kosten uitvoering project'!E:E,SubsidieTabel!A38,'5. Kosten uitvoering project'!F:F,SubsidieTabel!B38)</f>
        <v>0</v>
      </c>
      <c r="J38" s="115">
        <f t="shared" si="0"/>
        <v>0</v>
      </c>
      <c r="K38" s="115">
        <f t="shared" si="1"/>
        <v>0</v>
      </c>
      <c r="L38" s="117" t="str">
        <f>IFERROR(VLOOKUP(A38,Lijsten!$AD:$AE,2,0),"")</f>
        <v/>
      </c>
      <c r="M38" s="115">
        <f t="shared" si="2"/>
        <v>0</v>
      </c>
      <c r="N38" s="115">
        <f t="shared" si="3"/>
        <v>0</v>
      </c>
      <c r="Q38" s="78" t="s">
        <v>107</v>
      </c>
      <c r="R38" s="84" t="str">
        <f t="shared" si="5"/>
        <v/>
      </c>
      <c r="S38" s="79">
        <f>IF(Tb_DBKostenBEO[[#This Row],[Forfait]]=1,SUMIFS('8. Uitgaven betaalverzoek'!U:U,'8. Uitgaven betaalverzoek'!F:F,Tb_DBKostenBEO[[#This Row],[KostenOmschrijving]],'8. Uitgaven betaalverzoek'!A:A,Tb_DBKostenBEO[[#This Row],[Deelbetaling]]),0)</f>
        <v>0</v>
      </c>
      <c r="T38" s="79">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0">
        <v>0.23</v>
      </c>
      <c r="W38" s="79">
        <f>IF(Tb_DBKostenBEO[[#This Row],[Forfait]]=1,SUMIFS('8. Uitgaven betaalverzoek'!W:W,'8. Uitgaven betaalverzoek'!F:F,Tb_DBKostenBEO[[#This Row],[KostenOmschrijving]],'8. Uitgaven betaalverzoek'!A:A,Tb_DBKostenBEO[[#This Row],[Deelbetaling]]),0)</f>
        <v>0</v>
      </c>
      <c r="X38" s="79">
        <f>IF(Tb_DBKostenBEO[[#This Row],[Forfait]]=1,SUMIFS('8. Uitgaven betaalverzoek'!X:X,'8. Uitgaven betaalverzoek'!F:F,Tb_DBKostenBEO[[#This Row],[KostenOmschrijving]],'8. Uitgaven betaalverzoek'!A:A,Tb_DBKostenBEO[[#This Row],[Deelbetaling]]),0)</f>
        <v>0</v>
      </c>
      <c r="Y38" s="79">
        <f>Tb_DBKostenBEO[[#This Row],[Deelbetaling_Aanvraag]]+Tb_DBKostenBEO[[#This Row],[Forfait_Bedrag]]</f>
        <v>0</v>
      </c>
      <c r="Z38" s="79">
        <f>Tb_DBKostenBEO[[#This Row],[Deelbetaling_Beoordeeld]]+Tb_DBKostenBEO[[#This Row],[Forfait_Bedrag_Beoordeeld]]</f>
        <v>0</v>
      </c>
      <c r="AA38" t="str">
        <f>IF(Tb_DBKostenBEO[[#This Row],[Forfait]]=0,"Dit kostentype hoeft u niet op te geven. Hiervoor wordt een forfait berekend.","")</f>
        <v/>
      </c>
    </row>
    <row r="39" spans="1:27" x14ac:dyDescent="0.25">
      <c r="A39" s="18"/>
      <c r="B39" s="18"/>
      <c r="C39" s="18" t="str">
        <f>IFERROR(VLOOKUP($B39,Tb_ProjectKosten[],4,0),"")</f>
        <v/>
      </c>
      <c r="D39" s="106" t="str" cm="1">
        <f t="array" ref="D39">IFERROR(INDEX(Tb_KostenOpties[],MATCH(B39,Tb_KostenOpties[KostenOptie],0),IFERROR(MATCH(Methode_Keuze,Tb_KostenOpties[#Headers],0),2)),"")</f>
        <v/>
      </c>
      <c r="E39" s="118">
        <f>IFERROR(VLOOKUP(B39,Tb_ProjectKosten[[#All],[KostenOmschrijving]:[Forfat_Percentage]],6,0),0)</f>
        <v>0</v>
      </c>
      <c r="F39" s="116">
        <f>SUMIFS('5. Kosten uitvoering project'!P:P,'5. Kosten uitvoering project'!E:E,SubsidieTabel!A39,'5. Kosten uitvoering project'!F:F,SubsidieTabel!B39)</f>
        <v>0</v>
      </c>
      <c r="G39" s="116">
        <f>SUMIFS('5. Kosten uitvoering project'!Q:Q,'5. Kosten uitvoering project'!E:E,SubsidieTabel!A39,'5. Kosten uitvoering project'!F:F,SubsidieTabel!B39)</f>
        <v>0</v>
      </c>
      <c r="H39" s="116">
        <f>SUMIFS('5. Kosten uitvoering project'!R:R,'5. Kosten uitvoering project'!E:E,SubsidieTabel!A39,'5. Kosten uitvoering project'!F:F,SubsidieTabel!B39)</f>
        <v>0</v>
      </c>
      <c r="I39" s="116">
        <f>SUMIFS('5. Kosten uitvoering project'!S:S,'5. Kosten uitvoering project'!E:E,SubsidieTabel!A39,'5. Kosten uitvoering project'!F:F,SubsidieTabel!B39)</f>
        <v>0</v>
      </c>
      <c r="J39" s="116">
        <f t="shared" si="0"/>
        <v>0</v>
      </c>
      <c r="K39" s="116">
        <f t="shared" si="1"/>
        <v>0</v>
      </c>
      <c r="L39" s="118" t="str">
        <f>IFERROR(VLOOKUP(A39,Lijsten!$AD:$AE,2,0),"")</f>
        <v/>
      </c>
      <c r="M39" s="116">
        <f t="shared" si="2"/>
        <v>0</v>
      </c>
      <c r="N39" s="116">
        <f t="shared" si="3"/>
        <v>0</v>
      </c>
      <c r="Q39" s="18" t="s">
        <v>3</v>
      </c>
      <c r="R39" t="str">
        <f t="shared" si="5"/>
        <v/>
      </c>
      <c r="S39" s="79">
        <f>IF(Tb_DBKostenBEO[[#This Row],[Forfait]]=1,SUMIFS('8. Uitgaven betaalverzoek'!U:U,'8. Uitgaven betaalverzoek'!F:F,Tb_DBKostenBEO[[#This Row],[KostenOmschrijving]],'8. Uitgaven betaalverzoek'!A:A,Tb_DBKostenBEO[[#This Row],[Deelbetaling]]),0)</f>
        <v>0</v>
      </c>
      <c r="T39" s="79">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0">
        <v>0.23</v>
      </c>
      <c r="W39" s="79">
        <f>IF(Tb_DBKostenBEO[[#This Row],[Forfait]]=1,SUMIFS('8. Uitgaven betaalverzoek'!W:W,'8. Uitgaven betaalverzoek'!F:F,Tb_DBKostenBEO[[#This Row],[KostenOmschrijving]],'8. Uitgaven betaalverzoek'!A:A,Tb_DBKostenBEO[[#This Row],[Deelbetaling]]),0)</f>
        <v>0</v>
      </c>
      <c r="X39" s="79">
        <f>IF(Tb_DBKostenBEO[[#This Row],[Forfait]]=1,SUMIFS('8. Uitgaven betaalverzoek'!X:X,'8. Uitgaven betaalverzoek'!F:F,Tb_DBKostenBEO[[#This Row],[KostenOmschrijving]],'8. Uitgaven betaalverzoek'!A:A,Tb_DBKostenBEO[[#This Row],[Deelbetaling]]),0)</f>
        <v>0</v>
      </c>
      <c r="Y39" s="79">
        <f>Tb_DBKostenBEO[[#This Row],[Deelbetaling_Aanvraag]]+Tb_DBKostenBEO[[#This Row],[Forfait_Bedrag]]</f>
        <v>0</v>
      </c>
      <c r="Z39" s="79">
        <f>Tb_DBKostenBEO[[#This Row],[Deelbetaling_Beoordeeld]]+Tb_DBKostenBEO[[#This Row],[Forfait_Bedrag_Beoordeeld]]</f>
        <v>0</v>
      </c>
      <c r="AA39" t="str">
        <f>IF(Tb_DBKostenBEO[[#This Row],[Forfait]]=0,"Dit kostentype hoeft u niet op te geven. Hiervoor wordt een forfait berekend.","")</f>
        <v/>
      </c>
    </row>
    <row r="40" spans="1:27" x14ac:dyDescent="0.25">
      <c r="A40" s="78"/>
      <c r="B40" s="78"/>
      <c r="C40" s="78" t="str">
        <f>IFERROR(VLOOKUP($B40,Tb_ProjectKosten[],4,0),"")</f>
        <v/>
      </c>
      <c r="D40" s="105" t="str" cm="1">
        <f t="array" ref="D40">IFERROR(INDEX(Tb_KostenOpties[],MATCH(B40,Tb_KostenOpties[KostenOptie],0),IFERROR(MATCH(Methode_Keuze,Tb_KostenOpties[#Headers],0),2)),"")</f>
        <v/>
      </c>
      <c r="E40" s="117">
        <f>IFERROR(VLOOKUP(B40,Tb_ProjectKosten[[#All],[KostenOmschrijving]:[Forfat_Percentage]],6,0),0)</f>
        <v>0</v>
      </c>
      <c r="F40" s="115">
        <f>SUMIFS('5. Kosten uitvoering project'!P:P,'5. Kosten uitvoering project'!E:E,SubsidieTabel!A40,'5. Kosten uitvoering project'!F:F,SubsidieTabel!B40)</f>
        <v>0</v>
      </c>
      <c r="G40" s="115">
        <f>SUMIFS('5. Kosten uitvoering project'!Q:Q,'5. Kosten uitvoering project'!E:E,SubsidieTabel!A40,'5. Kosten uitvoering project'!F:F,SubsidieTabel!B40)</f>
        <v>0</v>
      </c>
      <c r="H40" s="115">
        <f>SUMIFS('5. Kosten uitvoering project'!R:R,'5. Kosten uitvoering project'!E:E,SubsidieTabel!A40,'5. Kosten uitvoering project'!F:F,SubsidieTabel!B40)</f>
        <v>0</v>
      </c>
      <c r="I40" s="115">
        <f>SUMIFS('5. Kosten uitvoering project'!S:S,'5. Kosten uitvoering project'!E:E,SubsidieTabel!A40,'5. Kosten uitvoering project'!F:F,SubsidieTabel!B40)</f>
        <v>0</v>
      </c>
      <c r="J40" s="115">
        <f t="shared" si="0"/>
        <v>0</v>
      </c>
      <c r="K40" s="115">
        <f t="shared" si="1"/>
        <v>0</v>
      </c>
      <c r="L40" s="117" t="str">
        <f>IFERROR(VLOOKUP(A40,Lijsten!$AD:$AE,2,0),"")</f>
        <v/>
      </c>
      <c r="M40" s="115">
        <f t="shared" si="2"/>
        <v>0</v>
      </c>
      <c r="N40" s="115">
        <f t="shared" si="3"/>
        <v>0</v>
      </c>
    </row>
    <row r="41" spans="1:27" x14ac:dyDescent="0.25">
      <c r="A41" s="18"/>
      <c r="B41" s="18"/>
      <c r="C41" s="18" t="str">
        <f>IFERROR(VLOOKUP($B41,Tb_ProjectKosten[],4,0),"")</f>
        <v/>
      </c>
      <c r="D41" s="106" t="str" cm="1">
        <f t="array" ref="D41">IFERROR(INDEX(Tb_KostenOpties[],MATCH(B41,Tb_KostenOpties[KostenOptie],0),IFERROR(MATCH(Methode_Keuze,Tb_KostenOpties[#Headers],0),2)),"")</f>
        <v/>
      </c>
      <c r="E41" s="118">
        <f>IFERROR(VLOOKUP(B41,Tb_ProjectKosten[[#All],[KostenOmschrijving]:[Forfat_Percentage]],6,0),0)</f>
        <v>0</v>
      </c>
      <c r="F41" s="116">
        <f>SUMIFS('5. Kosten uitvoering project'!P:P,'5. Kosten uitvoering project'!E:E,SubsidieTabel!A41,'5. Kosten uitvoering project'!F:F,SubsidieTabel!B41)</f>
        <v>0</v>
      </c>
      <c r="G41" s="116">
        <f>SUMIFS('5. Kosten uitvoering project'!Q:Q,'5. Kosten uitvoering project'!E:E,SubsidieTabel!A41,'5. Kosten uitvoering project'!F:F,SubsidieTabel!B41)</f>
        <v>0</v>
      </c>
      <c r="H41" s="116">
        <f>SUMIFS('5. Kosten uitvoering project'!R:R,'5. Kosten uitvoering project'!E:E,SubsidieTabel!A41,'5. Kosten uitvoering project'!F:F,SubsidieTabel!B41)</f>
        <v>0</v>
      </c>
      <c r="I41" s="116">
        <f>SUMIFS('5. Kosten uitvoering project'!S:S,'5. Kosten uitvoering project'!E:E,SubsidieTabel!A41,'5. Kosten uitvoering project'!F:F,SubsidieTabel!B41)</f>
        <v>0</v>
      </c>
      <c r="J41" s="116">
        <f t="shared" si="0"/>
        <v>0</v>
      </c>
      <c r="K41" s="116">
        <f t="shared" si="1"/>
        <v>0</v>
      </c>
      <c r="L41" s="118" t="str">
        <f>IFERROR(VLOOKUP(A41,Lijsten!$AD:$AE,2,0),"")</f>
        <v/>
      </c>
      <c r="M41" s="116">
        <f t="shared" si="2"/>
        <v>0</v>
      </c>
      <c r="N41" s="116">
        <f t="shared" si="3"/>
        <v>0</v>
      </c>
    </row>
    <row r="42" spans="1:27" x14ac:dyDescent="0.25">
      <c r="A42" s="78"/>
      <c r="B42" s="78"/>
      <c r="C42" s="78" t="str">
        <f>IFERROR(VLOOKUP($B42,Tb_ProjectKosten[],4,0),"")</f>
        <v/>
      </c>
      <c r="D42" s="105" t="str" cm="1">
        <f t="array" ref="D42">IFERROR(INDEX(Tb_KostenOpties[],MATCH(B42,Tb_KostenOpties[KostenOptie],0),IFERROR(MATCH(Methode_Keuze,Tb_KostenOpties[#Headers],0),2)),"")</f>
        <v/>
      </c>
      <c r="E42" s="117">
        <f>IFERROR(VLOOKUP(B42,Tb_ProjectKosten[[#All],[KostenOmschrijving]:[Forfat_Percentage]],6,0),0)</f>
        <v>0</v>
      </c>
      <c r="F42" s="115">
        <f>SUMIFS('5. Kosten uitvoering project'!P:P,'5. Kosten uitvoering project'!E:E,SubsidieTabel!A42,'5. Kosten uitvoering project'!F:F,SubsidieTabel!B42)</f>
        <v>0</v>
      </c>
      <c r="G42" s="115">
        <f>SUMIFS('5. Kosten uitvoering project'!Q:Q,'5. Kosten uitvoering project'!E:E,SubsidieTabel!A42,'5. Kosten uitvoering project'!F:F,SubsidieTabel!B42)</f>
        <v>0</v>
      </c>
      <c r="H42" s="115">
        <f>SUMIFS('5. Kosten uitvoering project'!R:R,'5. Kosten uitvoering project'!E:E,SubsidieTabel!A42,'5. Kosten uitvoering project'!F:F,SubsidieTabel!B42)</f>
        <v>0</v>
      </c>
      <c r="I42" s="115">
        <f>SUMIFS('5. Kosten uitvoering project'!S:S,'5. Kosten uitvoering project'!E:E,SubsidieTabel!A42,'5. Kosten uitvoering project'!F:F,SubsidieTabel!B42)</f>
        <v>0</v>
      </c>
      <c r="J42" s="115">
        <f t="shared" si="0"/>
        <v>0</v>
      </c>
      <c r="K42" s="115">
        <f t="shared" si="1"/>
        <v>0</v>
      </c>
      <c r="L42" s="117" t="str">
        <f>IFERROR(VLOOKUP(A42,Lijsten!$AD:$AE,2,0),"")</f>
        <v/>
      </c>
      <c r="M42" s="115">
        <f t="shared" si="2"/>
        <v>0</v>
      </c>
      <c r="N42" s="115">
        <f t="shared" si="3"/>
        <v>0</v>
      </c>
    </row>
    <row r="43" spans="1:27" x14ac:dyDescent="0.25">
      <c r="A43" s="18"/>
      <c r="B43" s="18"/>
      <c r="C43" s="18" t="str">
        <f>IFERROR(VLOOKUP($B43,Tb_ProjectKosten[],4,0),"")</f>
        <v/>
      </c>
      <c r="D43" s="106" t="str" cm="1">
        <f t="array" ref="D43">IFERROR(INDEX(Tb_KostenOpties[],MATCH(B43,Tb_KostenOpties[KostenOptie],0),IFERROR(MATCH(Methode_Keuze,Tb_KostenOpties[#Headers],0),2)),"")</f>
        <v/>
      </c>
      <c r="E43" s="118">
        <f>IFERROR(VLOOKUP(B43,Tb_ProjectKosten[[#All],[KostenOmschrijving]:[Forfat_Percentage]],6,0),0)</f>
        <v>0</v>
      </c>
      <c r="F43" s="116">
        <f>SUMIFS('5. Kosten uitvoering project'!P:P,'5. Kosten uitvoering project'!E:E,SubsidieTabel!A43,'5. Kosten uitvoering project'!F:F,SubsidieTabel!B43)</f>
        <v>0</v>
      </c>
      <c r="G43" s="116">
        <f>SUMIFS('5. Kosten uitvoering project'!Q:Q,'5. Kosten uitvoering project'!E:E,SubsidieTabel!A43,'5. Kosten uitvoering project'!F:F,SubsidieTabel!B43)</f>
        <v>0</v>
      </c>
      <c r="H43" s="116">
        <f>SUMIFS('5. Kosten uitvoering project'!R:R,'5. Kosten uitvoering project'!E:E,SubsidieTabel!A43,'5. Kosten uitvoering project'!F:F,SubsidieTabel!B43)</f>
        <v>0</v>
      </c>
      <c r="I43" s="116">
        <f>SUMIFS('5. Kosten uitvoering project'!S:S,'5. Kosten uitvoering project'!E:E,SubsidieTabel!A43,'5. Kosten uitvoering project'!F:F,SubsidieTabel!B43)</f>
        <v>0</v>
      </c>
      <c r="J43" s="116">
        <f t="shared" si="0"/>
        <v>0</v>
      </c>
      <c r="K43" s="116">
        <f t="shared" si="1"/>
        <v>0</v>
      </c>
      <c r="L43" s="118" t="str">
        <f>IFERROR(VLOOKUP(A43,Lijsten!$AD:$AE,2,0),"")</f>
        <v/>
      </c>
      <c r="M43" s="116">
        <f t="shared" si="2"/>
        <v>0</v>
      </c>
      <c r="N43" s="116">
        <f t="shared" si="3"/>
        <v>0</v>
      </c>
    </row>
    <row r="44" spans="1:27" x14ac:dyDescent="0.25">
      <c r="A44" s="78"/>
      <c r="B44" s="78"/>
      <c r="C44" s="78" t="str">
        <f>IFERROR(VLOOKUP($B44,Tb_ProjectKosten[],4,0),"")</f>
        <v/>
      </c>
      <c r="D44" s="105" t="str" cm="1">
        <f t="array" ref="D44">IFERROR(INDEX(Tb_KostenOpties[],MATCH(B44,Tb_KostenOpties[KostenOptie],0),IFERROR(MATCH(Methode_Keuze,Tb_KostenOpties[#Headers],0),2)),"")</f>
        <v/>
      </c>
      <c r="E44" s="117">
        <f>IFERROR(VLOOKUP(B44,Tb_ProjectKosten[[#All],[KostenOmschrijving]:[Forfat_Percentage]],6,0),0)</f>
        <v>0</v>
      </c>
      <c r="F44" s="115">
        <f>SUMIFS('5. Kosten uitvoering project'!P:P,'5. Kosten uitvoering project'!E:E,SubsidieTabel!A44,'5. Kosten uitvoering project'!F:F,SubsidieTabel!B44)</f>
        <v>0</v>
      </c>
      <c r="G44" s="115">
        <f>SUMIFS('5. Kosten uitvoering project'!Q:Q,'5. Kosten uitvoering project'!E:E,SubsidieTabel!A44,'5. Kosten uitvoering project'!F:F,SubsidieTabel!B44)</f>
        <v>0</v>
      </c>
      <c r="H44" s="115">
        <f>SUMIFS('5. Kosten uitvoering project'!R:R,'5. Kosten uitvoering project'!E:E,SubsidieTabel!A44,'5. Kosten uitvoering project'!F:F,SubsidieTabel!B44)</f>
        <v>0</v>
      </c>
      <c r="I44" s="115">
        <f>SUMIFS('5. Kosten uitvoering project'!S:S,'5. Kosten uitvoering project'!E:E,SubsidieTabel!A44,'5. Kosten uitvoering project'!F:F,SubsidieTabel!B44)</f>
        <v>0</v>
      </c>
      <c r="J44" s="115">
        <f t="shared" si="0"/>
        <v>0</v>
      </c>
      <c r="K44" s="115">
        <f t="shared" si="1"/>
        <v>0</v>
      </c>
      <c r="L44" s="117" t="str">
        <f>IFERROR(VLOOKUP(A44,Lijsten!$AD:$AE,2,0),"")</f>
        <v/>
      </c>
      <c r="M44" s="115">
        <f t="shared" si="2"/>
        <v>0</v>
      </c>
      <c r="N44" s="115">
        <f t="shared" si="3"/>
        <v>0</v>
      </c>
    </row>
    <row r="45" spans="1:27" x14ac:dyDescent="0.25">
      <c r="A45" s="18"/>
      <c r="B45" s="18"/>
      <c r="C45" s="18" t="str">
        <f>IFERROR(VLOOKUP($B45,Tb_ProjectKosten[],4,0),"")</f>
        <v/>
      </c>
      <c r="D45" s="106" t="str" cm="1">
        <f t="array" ref="D45">IFERROR(INDEX(Tb_KostenOpties[],MATCH(B45,Tb_KostenOpties[KostenOptie],0),IFERROR(MATCH(Methode_Keuze,Tb_KostenOpties[#Headers],0),2)),"")</f>
        <v/>
      </c>
      <c r="E45" s="118">
        <f>IFERROR(VLOOKUP(B45,Tb_ProjectKosten[[#All],[KostenOmschrijving]:[Forfat_Percentage]],6,0),0)</f>
        <v>0</v>
      </c>
      <c r="F45" s="116">
        <f>SUMIFS('5. Kosten uitvoering project'!P:P,'5. Kosten uitvoering project'!E:E,SubsidieTabel!A45,'5. Kosten uitvoering project'!F:F,SubsidieTabel!B45)</f>
        <v>0</v>
      </c>
      <c r="G45" s="116">
        <f>SUMIFS('5. Kosten uitvoering project'!Q:Q,'5. Kosten uitvoering project'!E:E,SubsidieTabel!A45,'5. Kosten uitvoering project'!F:F,SubsidieTabel!B45)</f>
        <v>0</v>
      </c>
      <c r="H45" s="116">
        <f>SUMIFS('5. Kosten uitvoering project'!R:R,'5. Kosten uitvoering project'!E:E,SubsidieTabel!A45,'5. Kosten uitvoering project'!F:F,SubsidieTabel!B45)</f>
        <v>0</v>
      </c>
      <c r="I45" s="116">
        <f>SUMIFS('5. Kosten uitvoering project'!S:S,'5. Kosten uitvoering project'!E:E,SubsidieTabel!A45,'5. Kosten uitvoering project'!F:F,SubsidieTabel!B45)</f>
        <v>0</v>
      </c>
      <c r="J45" s="116">
        <f t="shared" si="0"/>
        <v>0</v>
      </c>
      <c r="K45" s="116">
        <f t="shared" si="1"/>
        <v>0</v>
      </c>
      <c r="L45" s="118" t="str">
        <f>IFERROR(VLOOKUP(A45,Lijsten!$AD:$AE,2,0),"")</f>
        <v/>
      </c>
      <c r="M45" s="116">
        <f t="shared" si="2"/>
        <v>0</v>
      </c>
      <c r="N45" s="116">
        <f t="shared" si="3"/>
        <v>0</v>
      </c>
    </row>
    <row r="46" spans="1:27" x14ac:dyDescent="0.25">
      <c r="A46" s="78"/>
      <c r="B46" s="78"/>
      <c r="C46" s="78" t="str">
        <f>IFERROR(VLOOKUP($B46,Tb_ProjectKosten[],4,0),"")</f>
        <v/>
      </c>
      <c r="D46" s="105" t="str" cm="1">
        <f t="array" ref="D46">IFERROR(INDEX(Tb_KostenOpties[],MATCH(B46,Tb_KostenOpties[KostenOptie],0),IFERROR(MATCH(Methode_Keuze,Tb_KostenOpties[#Headers],0),2)),"")</f>
        <v/>
      </c>
      <c r="E46" s="117">
        <f>IFERROR(VLOOKUP(B46,Tb_ProjectKosten[[#All],[KostenOmschrijving]:[Forfat_Percentage]],6,0),0)</f>
        <v>0</v>
      </c>
      <c r="F46" s="115">
        <f>SUMIFS('5. Kosten uitvoering project'!P:P,'5. Kosten uitvoering project'!E:E,SubsidieTabel!A46,'5. Kosten uitvoering project'!F:F,SubsidieTabel!B46)</f>
        <v>0</v>
      </c>
      <c r="G46" s="115">
        <f>SUMIFS('5. Kosten uitvoering project'!Q:Q,'5. Kosten uitvoering project'!E:E,SubsidieTabel!A46,'5. Kosten uitvoering project'!F:F,SubsidieTabel!B46)</f>
        <v>0</v>
      </c>
      <c r="H46" s="115">
        <f>SUMIFS('5. Kosten uitvoering project'!R:R,'5. Kosten uitvoering project'!E:E,SubsidieTabel!A46,'5. Kosten uitvoering project'!F:F,SubsidieTabel!B46)</f>
        <v>0</v>
      </c>
      <c r="I46" s="115">
        <f>SUMIFS('5. Kosten uitvoering project'!S:S,'5. Kosten uitvoering project'!E:E,SubsidieTabel!A46,'5. Kosten uitvoering project'!F:F,SubsidieTabel!B46)</f>
        <v>0</v>
      </c>
      <c r="J46" s="115">
        <f t="shared" si="0"/>
        <v>0</v>
      </c>
      <c r="K46" s="115">
        <f t="shared" si="1"/>
        <v>0</v>
      </c>
      <c r="L46" s="117" t="str">
        <f>IFERROR(VLOOKUP(A46,Lijsten!$AD:$AE,2,0),"")</f>
        <v/>
      </c>
      <c r="M46" s="115">
        <f t="shared" si="2"/>
        <v>0</v>
      </c>
      <c r="N46" s="115">
        <f t="shared" si="3"/>
        <v>0</v>
      </c>
    </row>
    <row r="47" spans="1:27" x14ac:dyDescent="0.25">
      <c r="A47" s="18"/>
      <c r="B47" s="18"/>
      <c r="C47" s="18" t="str">
        <f>IFERROR(VLOOKUP($B47,Tb_ProjectKosten[],4,0),"")</f>
        <v/>
      </c>
      <c r="D47" s="106" t="str" cm="1">
        <f t="array" ref="D47">IFERROR(INDEX(Tb_KostenOpties[],MATCH(B47,Tb_KostenOpties[KostenOptie],0),IFERROR(MATCH(Methode_Keuze,Tb_KostenOpties[#Headers],0),2)),"")</f>
        <v/>
      </c>
      <c r="E47" s="118">
        <f>IFERROR(VLOOKUP(B47,Tb_ProjectKosten[[#All],[KostenOmschrijving]:[Forfat_Percentage]],6,0),0)</f>
        <v>0</v>
      </c>
      <c r="F47" s="116">
        <f>SUMIFS('5. Kosten uitvoering project'!P:P,'5. Kosten uitvoering project'!E:E,SubsidieTabel!A47,'5. Kosten uitvoering project'!F:F,SubsidieTabel!B47)</f>
        <v>0</v>
      </c>
      <c r="G47" s="116">
        <f>SUMIFS('5. Kosten uitvoering project'!Q:Q,'5. Kosten uitvoering project'!E:E,SubsidieTabel!A47,'5. Kosten uitvoering project'!F:F,SubsidieTabel!B47)</f>
        <v>0</v>
      </c>
      <c r="H47" s="116">
        <f>SUMIFS('5. Kosten uitvoering project'!R:R,'5. Kosten uitvoering project'!E:E,SubsidieTabel!A47,'5. Kosten uitvoering project'!F:F,SubsidieTabel!B47)</f>
        <v>0</v>
      </c>
      <c r="I47" s="116">
        <f>SUMIFS('5. Kosten uitvoering project'!S:S,'5. Kosten uitvoering project'!E:E,SubsidieTabel!A47,'5. Kosten uitvoering project'!F:F,SubsidieTabel!B47)</f>
        <v>0</v>
      </c>
      <c r="J47" s="116">
        <f t="shared" si="0"/>
        <v>0</v>
      </c>
      <c r="K47" s="116">
        <f t="shared" si="1"/>
        <v>0</v>
      </c>
      <c r="L47" s="118" t="str">
        <f>IFERROR(VLOOKUP(A47,Lijsten!$AD:$AE,2,0),"")</f>
        <v/>
      </c>
      <c r="M47" s="116">
        <f t="shared" si="2"/>
        <v>0</v>
      </c>
      <c r="N47" s="116">
        <f t="shared" si="3"/>
        <v>0</v>
      </c>
    </row>
    <row r="48" spans="1:27" x14ac:dyDescent="0.25">
      <c r="A48" s="78"/>
      <c r="B48" s="78"/>
      <c r="C48" s="78" t="str">
        <f>IFERROR(VLOOKUP($B48,Tb_ProjectKosten[],4,0),"")</f>
        <v/>
      </c>
      <c r="D48" s="105" t="str" cm="1">
        <f t="array" ref="D48">IFERROR(INDEX(Tb_KostenOpties[],MATCH(B48,Tb_KostenOpties[KostenOptie],0),IFERROR(MATCH(Methode_Keuze,Tb_KostenOpties[#Headers],0),2)),"")</f>
        <v/>
      </c>
      <c r="E48" s="117">
        <f>IFERROR(VLOOKUP(B48,Tb_ProjectKosten[[#All],[KostenOmschrijving]:[Forfat_Percentage]],6,0),0)</f>
        <v>0</v>
      </c>
      <c r="F48" s="115">
        <f>SUMIFS('5. Kosten uitvoering project'!P:P,'5. Kosten uitvoering project'!E:E,SubsidieTabel!A48,'5. Kosten uitvoering project'!F:F,SubsidieTabel!B48)</f>
        <v>0</v>
      </c>
      <c r="G48" s="115">
        <f>SUMIFS('5. Kosten uitvoering project'!Q:Q,'5. Kosten uitvoering project'!E:E,SubsidieTabel!A48,'5. Kosten uitvoering project'!F:F,SubsidieTabel!B48)</f>
        <v>0</v>
      </c>
      <c r="H48" s="115">
        <f>SUMIFS('5. Kosten uitvoering project'!R:R,'5. Kosten uitvoering project'!E:E,SubsidieTabel!A48,'5. Kosten uitvoering project'!F:F,SubsidieTabel!B48)</f>
        <v>0</v>
      </c>
      <c r="I48" s="115">
        <f>SUMIFS('5. Kosten uitvoering project'!S:S,'5. Kosten uitvoering project'!E:E,SubsidieTabel!A48,'5. Kosten uitvoering project'!F:F,SubsidieTabel!B48)</f>
        <v>0</v>
      </c>
      <c r="J48" s="115">
        <f t="shared" si="0"/>
        <v>0</v>
      </c>
      <c r="K48" s="115">
        <f t="shared" si="1"/>
        <v>0</v>
      </c>
      <c r="L48" s="117" t="str">
        <f>IFERROR(VLOOKUP(A48,Lijsten!$AD:$AE,2,0),"")</f>
        <v/>
      </c>
      <c r="M48" s="115">
        <f t="shared" si="2"/>
        <v>0</v>
      </c>
      <c r="N48" s="115">
        <f t="shared" si="3"/>
        <v>0</v>
      </c>
    </row>
    <row r="49" spans="1:14" x14ac:dyDescent="0.25">
      <c r="A49" s="18"/>
      <c r="B49" s="18"/>
      <c r="C49" s="18" t="str">
        <f>IFERROR(VLOOKUP($B49,Tb_ProjectKosten[],4,0),"")</f>
        <v/>
      </c>
      <c r="D49" s="106" t="str" cm="1">
        <f t="array" ref="D49">IFERROR(INDEX(Tb_KostenOpties[],MATCH(B49,Tb_KostenOpties[KostenOptie],0),IFERROR(MATCH(Methode_Keuze,Tb_KostenOpties[#Headers],0),2)),"")</f>
        <v/>
      </c>
      <c r="E49" s="118">
        <f>IFERROR(VLOOKUP(B49,Tb_ProjectKosten[[#All],[KostenOmschrijving]:[Forfat_Percentage]],6,0),0)</f>
        <v>0</v>
      </c>
      <c r="F49" s="116">
        <f>SUMIFS('5. Kosten uitvoering project'!P:P,'5. Kosten uitvoering project'!E:E,SubsidieTabel!A49,'5. Kosten uitvoering project'!F:F,SubsidieTabel!B49)</f>
        <v>0</v>
      </c>
      <c r="G49" s="116">
        <f>SUMIFS('5. Kosten uitvoering project'!Q:Q,'5. Kosten uitvoering project'!E:E,SubsidieTabel!A49,'5. Kosten uitvoering project'!F:F,SubsidieTabel!B49)</f>
        <v>0</v>
      </c>
      <c r="H49" s="116">
        <f>SUMIFS('5. Kosten uitvoering project'!R:R,'5. Kosten uitvoering project'!E:E,SubsidieTabel!A49,'5. Kosten uitvoering project'!F:F,SubsidieTabel!B49)</f>
        <v>0</v>
      </c>
      <c r="I49" s="116">
        <f>SUMIFS('5. Kosten uitvoering project'!S:S,'5. Kosten uitvoering project'!E:E,SubsidieTabel!A49,'5. Kosten uitvoering project'!F:F,SubsidieTabel!B49)</f>
        <v>0</v>
      </c>
      <c r="J49" s="116">
        <f t="shared" si="0"/>
        <v>0</v>
      </c>
      <c r="K49" s="116">
        <f t="shared" si="1"/>
        <v>0</v>
      </c>
      <c r="L49" s="118" t="str">
        <f>IFERROR(VLOOKUP(A49,Lijsten!$AD:$AE,2,0),"")</f>
        <v/>
      </c>
      <c r="M49" s="116">
        <f t="shared" si="2"/>
        <v>0</v>
      </c>
      <c r="N49" s="116">
        <f t="shared" si="3"/>
        <v>0</v>
      </c>
    </row>
    <row r="50" spans="1:14" x14ac:dyDescent="0.25">
      <c r="A50" s="78"/>
      <c r="B50" s="78"/>
      <c r="C50" s="78" t="str">
        <f>IFERROR(VLOOKUP($B50,Tb_ProjectKosten[],4,0),"")</f>
        <v/>
      </c>
      <c r="D50" s="105" t="str" cm="1">
        <f t="array" ref="D50">IFERROR(INDEX(Tb_KostenOpties[],MATCH(B50,Tb_KostenOpties[KostenOptie],0),IFERROR(MATCH(Methode_Keuze,Tb_KostenOpties[#Headers],0),2)),"")</f>
        <v/>
      </c>
      <c r="E50" s="117">
        <f>IFERROR(VLOOKUP(B50,Tb_ProjectKosten[[#All],[KostenOmschrijving]:[Forfat_Percentage]],6,0),0)</f>
        <v>0</v>
      </c>
      <c r="F50" s="115">
        <f>SUMIFS('5. Kosten uitvoering project'!P:P,'5. Kosten uitvoering project'!E:E,SubsidieTabel!A50,'5. Kosten uitvoering project'!F:F,SubsidieTabel!B50)</f>
        <v>0</v>
      </c>
      <c r="G50" s="115">
        <f>SUMIFS('5. Kosten uitvoering project'!Q:Q,'5. Kosten uitvoering project'!E:E,SubsidieTabel!A50,'5. Kosten uitvoering project'!F:F,SubsidieTabel!B50)</f>
        <v>0</v>
      </c>
      <c r="H50" s="115">
        <f>SUMIFS('5. Kosten uitvoering project'!R:R,'5. Kosten uitvoering project'!E:E,SubsidieTabel!A50,'5. Kosten uitvoering project'!F:F,SubsidieTabel!B50)</f>
        <v>0</v>
      </c>
      <c r="I50" s="115">
        <f>SUMIFS('5. Kosten uitvoering project'!S:S,'5. Kosten uitvoering project'!E:E,SubsidieTabel!A50,'5. Kosten uitvoering project'!F:F,SubsidieTabel!B50)</f>
        <v>0</v>
      </c>
      <c r="J50" s="115">
        <f t="shared" si="0"/>
        <v>0</v>
      </c>
      <c r="K50" s="115">
        <f t="shared" si="1"/>
        <v>0</v>
      </c>
      <c r="L50" s="117" t="str">
        <f>IFERROR(VLOOKUP(A50,Lijsten!$AD:$AE,2,0),"")</f>
        <v/>
      </c>
      <c r="M50" s="115">
        <f t="shared" si="2"/>
        <v>0</v>
      </c>
      <c r="N50" s="115">
        <f t="shared" si="3"/>
        <v>0</v>
      </c>
    </row>
    <row r="51" spans="1:14" x14ac:dyDescent="0.25">
      <c r="A51" s="18"/>
      <c r="B51" s="18"/>
      <c r="C51" s="18" t="str">
        <f>IFERROR(VLOOKUP($B51,Tb_ProjectKosten[],4,0),"")</f>
        <v/>
      </c>
      <c r="D51" s="106" t="str" cm="1">
        <f t="array" ref="D51">IFERROR(INDEX(Tb_KostenOpties[],MATCH(B51,Tb_KostenOpties[KostenOptie],0),IFERROR(MATCH(Methode_Keuze,Tb_KostenOpties[#Headers],0),2)),"")</f>
        <v/>
      </c>
      <c r="E51" s="118">
        <f>IFERROR(VLOOKUP(B51,Tb_ProjectKosten[[#All],[KostenOmschrijving]:[Forfat_Percentage]],6,0),0)</f>
        <v>0</v>
      </c>
      <c r="F51" s="116">
        <f>SUMIFS('5. Kosten uitvoering project'!P:P,'5. Kosten uitvoering project'!E:E,SubsidieTabel!A51,'5. Kosten uitvoering project'!F:F,SubsidieTabel!B51)</f>
        <v>0</v>
      </c>
      <c r="G51" s="116">
        <f>SUMIFS('5. Kosten uitvoering project'!Q:Q,'5. Kosten uitvoering project'!E:E,SubsidieTabel!A51,'5. Kosten uitvoering project'!F:F,SubsidieTabel!B51)</f>
        <v>0</v>
      </c>
      <c r="H51" s="116">
        <f>SUMIFS('5. Kosten uitvoering project'!R:R,'5. Kosten uitvoering project'!E:E,SubsidieTabel!A51,'5. Kosten uitvoering project'!F:F,SubsidieTabel!B51)</f>
        <v>0</v>
      </c>
      <c r="I51" s="116">
        <f>SUMIFS('5. Kosten uitvoering project'!S:S,'5. Kosten uitvoering project'!E:E,SubsidieTabel!A51,'5. Kosten uitvoering project'!F:F,SubsidieTabel!B51)</f>
        <v>0</v>
      </c>
      <c r="J51" s="116">
        <f t="shared" si="0"/>
        <v>0</v>
      </c>
      <c r="K51" s="116">
        <f t="shared" si="1"/>
        <v>0</v>
      </c>
      <c r="L51" s="118" t="str">
        <f>IFERROR(VLOOKUP(A51,Lijsten!$AD:$AE,2,0),"")</f>
        <v/>
      </c>
      <c r="M51" s="116">
        <f t="shared" si="2"/>
        <v>0</v>
      </c>
      <c r="N51" s="116">
        <f t="shared" si="3"/>
        <v>0</v>
      </c>
    </row>
    <row r="52" spans="1:14" x14ac:dyDescent="0.25">
      <c r="A52" s="78"/>
      <c r="B52" s="78"/>
      <c r="C52" s="78" t="str">
        <f>IFERROR(VLOOKUP($B52,Tb_ProjectKosten[],4,0),"")</f>
        <v/>
      </c>
      <c r="D52" s="105" t="str" cm="1">
        <f t="array" ref="D52">IFERROR(INDEX(Tb_KostenOpties[],MATCH(B52,Tb_KostenOpties[KostenOptie],0),IFERROR(MATCH(Methode_Keuze,Tb_KostenOpties[#Headers],0),2)),"")</f>
        <v/>
      </c>
      <c r="E52" s="117">
        <f>IFERROR(VLOOKUP(B52,Tb_ProjectKosten[[#All],[KostenOmschrijving]:[Forfat_Percentage]],6,0),0)</f>
        <v>0</v>
      </c>
      <c r="F52" s="115">
        <f>SUMIFS('5. Kosten uitvoering project'!P:P,'5. Kosten uitvoering project'!E:E,SubsidieTabel!A52,'5. Kosten uitvoering project'!F:F,SubsidieTabel!B52)</f>
        <v>0</v>
      </c>
      <c r="G52" s="115">
        <f>SUMIFS('5. Kosten uitvoering project'!Q:Q,'5. Kosten uitvoering project'!E:E,SubsidieTabel!A52,'5. Kosten uitvoering project'!F:F,SubsidieTabel!B52)</f>
        <v>0</v>
      </c>
      <c r="H52" s="115">
        <f>SUMIFS('5. Kosten uitvoering project'!R:R,'5. Kosten uitvoering project'!E:E,SubsidieTabel!A52,'5. Kosten uitvoering project'!F:F,SubsidieTabel!B52)</f>
        <v>0</v>
      </c>
      <c r="I52" s="115">
        <f>SUMIFS('5. Kosten uitvoering project'!S:S,'5. Kosten uitvoering project'!E:E,SubsidieTabel!A52,'5. Kosten uitvoering project'!F:F,SubsidieTabel!B52)</f>
        <v>0</v>
      </c>
      <c r="J52" s="115">
        <f t="shared" si="0"/>
        <v>0</v>
      </c>
      <c r="K52" s="115">
        <f t="shared" si="1"/>
        <v>0</v>
      </c>
      <c r="L52" s="117" t="str">
        <f>IFERROR(VLOOKUP(A52,Lijsten!$AD:$AE,2,0),"")</f>
        <v/>
      </c>
      <c r="M52" s="115">
        <f t="shared" si="2"/>
        <v>0</v>
      </c>
      <c r="N52" s="115">
        <f t="shared" si="3"/>
        <v>0</v>
      </c>
    </row>
    <row r="53" spans="1:14" x14ac:dyDescent="0.25">
      <c r="A53" s="18"/>
      <c r="B53" s="18"/>
      <c r="C53" s="18" t="str">
        <f>IFERROR(VLOOKUP($B53,Tb_ProjectKosten[],4,0),"")</f>
        <v/>
      </c>
      <c r="D53" s="106" t="str" cm="1">
        <f t="array" ref="D53">IFERROR(INDEX(Tb_KostenOpties[],MATCH(B53,Tb_KostenOpties[KostenOptie],0),IFERROR(MATCH(Methode_Keuze,Tb_KostenOpties[#Headers],0),2)),"")</f>
        <v/>
      </c>
      <c r="E53" s="118">
        <f>IFERROR(VLOOKUP(B53,Tb_ProjectKosten[[#All],[KostenOmschrijving]:[Forfat_Percentage]],6,0),0)</f>
        <v>0</v>
      </c>
      <c r="F53" s="116">
        <f>SUMIFS('5. Kosten uitvoering project'!P:P,'5. Kosten uitvoering project'!E:E,SubsidieTabel!A53,'5. Kosten uitvoering project'!F:F,SubsidieTabel!B53)</f>
        <v>0</v>
      </c>
      <c r="G53" s="116">
        <f>SUMIFS('5. Kosten uitvoering project'!Q:Q,'5. Kosten uitvoering project'!E:E,SubsidieTabel!A53,'5. Kosten uitvoering project'!F:F,SubsidieTabel!B53)</f>
        <v>0</v>
      </c>
      <c r="H53" s="116">
        <f>SUMIFS('5. Kosten uitvoering project'!R:R,'5. Kosten uitvoering project'!E:E,SubsidieTabel!A53,'5. Kosten uitvoering project'!F:F,SubsidieTabel!B53)</f>
        <v>0</v>
      </c>
      <c r="I53" s="116">
        <f>SUMIFS('5. Kosten uitvoering project'!S:S,'5. Kosten uitvoering project'!E:E,SubsidieTabel!A53,'5. Kosten uitvoering project'!F:F,SubsidieTabel!B53)</f>
        <v>0</v>
      </c>
      <c r="J53" s="116">
        <f t="shared" si="0"/>
        <v>0</v>
      </c>
      <c r="K53" s="116">
        <f t="shared" si="1"/>
        <v>0</v>
      </c>
      <c r="L53" s="118" t="str">
        <f>IFERROR(VLOOKUP(A53,Lijsten!$AD:$AE,2,0),"")</f>
        <v/>
      </c>
      <c r="M53" s="116">
        <f t="shared" si="2"/>
        <v>0</v>
      </c>
      <c r="N53" s="116">
        <f t="shared" si="3"/>
        <v>0</v>
      </c>
    </row>
    <row r="54" spans="1:14" x14ac:dyDescent="0.25">
      <c r="A54" s="78"/>
      <c r="B54" s="78"/>
      <c r="C54" s="78" t="str">
        <f>IFERROR(VLOOKUP($B54,Tb_ProjectKosten[],4,0),"")</f>
        <v/>
      </c>
      <c r="D54" s="105" t="str" cm="1">
        <f t="array" ref="D54">IFERROR(INDEX(Tb_KostenOpties[],MATCH(B54,Tb_KostenOpties[KostenOptie],0),IFERROR(MATCH(Methode_Keuze,Tb_KostenOpties[#Headers],0),2)),"")</f>
        <v/>
      </c>
      <c r="E54" s="117">
        <f>IFERROR(VLOOKUP(B54,Tb_ProjectKosten[[#All],[KostenOmschrijving]:[Forfat_Percentage]],6,0),0)</f>
        <v>0</v>
      </c>
      <c r="F54" s="115">
        <f>SUMIFS('5. Kosten uitvoering project'!P:P,'5. Kosten uitvoering project'!E:E,SubsidieTabel!A54,'5. Kosten uitvoering project'!F:F,SubsidieTabel!B54)</f>
        <v>0</v>
      </c>
      <c r="G54" s="115">
        <f>SUMIFS('5. Kosten uitvoering project'!Q:Q,'5. Kosten uitvoering project'!E:E,SubsidieTabel!A54,'5. Kosten uitvoering project'!F:F,SubsidieTabel!B54)</f>
        <v>0</v>
      </c>
      <c r="H54" s="115">
        <f>SUMIFS('5. Kosten uitvoering project'!R:R,'5. Kosten uitvoering project'!E:E,SubsidieTabel!A54,'5. Kosten uitvoering project'!F:F,SubsidieTabel!B54)</f>
        <v>0</v>
      </c>
      <c r="I54" s="115">
        <f>SUMIFS('5. Kosten uitvoering project'!S:S,'5. Kosten uitvoering project'!E:E,SubsidieTabel!A54,'5. Kosten uitvoering project'!F:F,SubsidieTabel!B54)</f>
        <v>0</v>
      </c>
      <c r="J54" s="115">
        <f t="shared" si="0"/>
        <v>0</v>
      </c>
      <c r="K54" s="115">
        <f t="shared" si="1"/>
        <v>0</v>
      </c>
      <c r="L54" s="117" t="str">
        <f>IFERROR(VLOOKUP(A54,Lijsten!$AD:$AE,2,0),"")</f>
        <v/>
      </c>
      <c r="M54" s="115">
        <f t="shared" si="2"/>
        <v>0</v>
      </c>
      <c r="N54" s="115">
        <f t="shared" si="3"/>
        <v>0</v>
      </c>
    </row>
    <row r="55" spans="1:14" x14ac:dyDescent="0.25">
      <c r="A55" s="18"/>
      <c r="B55" s="18"/>
      <c r="C55" s="18" t="str">
        <f>IFERROR(VLOOKUP($B55,Tb_ProjectKosten[],4,0),"")</f>
        <v/>
      </c>
      <c r="D55" s="106" t="str" cm="1">
        <f t="array" ref="D55">IFERROR(INDEX(Tb_KostenOpties[],MATCH(B55,Tb_KostenOpties[KostenOptie],0),IFERROR(MATCH(Methode_Keuze,Tb_KostenOpties[#Headers],0),2)),"")</f>
        <v/>
      </c>
      <c r="E55" s="118">
        <f>IFERROR(VLOOKUP(B55,Tb_ProjectKosten[[#All],[KostenOmschrijving]:[Forfat_Percentage]],6,0),0)</f>
        <v>0</v>
      </c>
      <c r="F55" s="116">
        <f>SUMIFS('5. Kosten uitvoering project'!P:P,'5. Kosten uitvoering project'!E:E,SubsidieTabel!A55,'5. Kosten uitvoering project'!F:F,SubsidieTabel!B55)</f>
        <v>0</v>
      </c>
      <c r="G55" s="116">
        <f>SUMIFS('5. Kosten uitvoering project'!Q:Q,'5. Kosten uitvoering project'!E:E,SubsidieTabel!A55,'5. Kosten uitvoering project'!F:F,SubsidieTabel!B55)</f>
        <v>0</v>
      </c>
      <c r="H55" s="116">
        <f>SUMIFS('5. Kosten uitvoering project'!R:R,'5. Kosten uitvoering project'!E:E,SubsidieTabel!A55,'5. Kosten uitvoering project'!F:F,SubsidieTabel!B55)</f>
        <v>0</v>
      </c>
      <c r="I55" s="116">
        <f>SUMIFS('5. Kosten uitvoering project'!S:S,'5. Kosten uitvoering project'!E:E,SubsidieTabel!A55,'5. Kosten uitvoering project'!F:F,SubsidieTabel!B55)</f>
        <v>0</v>
      </c>
      <c r="J55" s="116">
        <f t="shared" si="0"/>
        <v>0</v>
      </c>
      <c r="K55" s="116">
        <f t="shared" si="1"/>
        <v>0</v>
      </c>
      <c r="L55" s="118" t="str">
        <f>IFERROR(VLOOKUP(A55,Lijsten!$AD:$AE,2,0),"")</f>
        <v/>
      </c>
      <c r="M55" s="116">
        <f t="shared" si="2"/>
        <v>0</v>
      </c>
      <c r="N55" s="116">
        <f t="shared" si="3"/>
        <v>0</v>
      </c>
    </row>
    <row r="56" spans="1:14" x14ac:dyDescent="0.25">
      <c r="A56" s="78"/>
      <c r="B56" s="78"/>
      <c r="C56" s="78" t="str">
        <f>IFERROR(VLOOKUP($B56,Tb_ProjectKosten[],4,0),"")</f>
        <v/>
      </c>
      <c r="D56" s="105" t="str" cm="1">
        <f t="array" ref="D56">IFERROR(INDEX(Tb_KostenOpties[],MATCH(B56,Tb_KostenOpties[KostenOptie],0),IFERROR(MATCH(Methode_Keuze,Tb_KostenOpties[#Headers],0),2)),"")</f>
        <v/>
      </c>
      <c r="E56" s="117">
        <f>IFERROR(VLOOKUP(B56,Tb_ProjectKosten[[#All],[KostenOmschrijving]:[Forfat_Percentage]],6,0),0)</f>
        <v>0</v>
      </c>
      <c r="F56" s="115">
        <f>SUMIFS('5. Kosten uitvoering project'!P:P,'5. Kosten uitvoering project'!E:E,SubsidieTabel!A56,'5. Kosten uitvoering project'!F:F,SubsidieTabel!B56)</f>
        <v>0</v>
      </c>
      <c r="G56" s="115">
        <f>SUMIFS('5. Kosten uitvoering project'!Q:Q,'5. Kosten uitvoering project'!E:E,SubsidieTabel!A56,'5. Kosten uitvoering project'!F:F,SubsidieTabel!B56)</f>
        <v>0</v>
      </c>
      <c r="H56" s="115">
        <f>SUMIFS('5. Kosten uitvoering project'!R:R,'5. Kosten uitvoering project'!E:E,SubsidieTabel!A56,'5. Kosten uitvoering project'!F:F,SubsidieTabel!B56)</f>
        <v>0</v>
      </c>
      <c r="I56" s="115">
        <f>SUMIFS('5. Kosten uitvoering project'!S:S,'5. Kosten uitvoering project'!E:E,SubsidieTabel!A56,'5. Kosten uitvoering project'!F:F,SubsidieTabel!B56)</f>
        <v>0</v>
      </c>
      <c r="J56" s="115">
        <f t="shared" si="0"/>
        <v>0</v>
      </c>
      <c r="K56" s="115">
        <f t="shared" si="1"/>
        <v>0</v>
      </c>
      <c r="L56" s="117" t="str">
        <f>IFERROR(VLOOKUP(A56,Lijsten!$AD:$AE,2,0),"")</f>
        <v/>
      </c>
      <c r="M56" s="115">
        <f t="shared" si="2"/>
        <v>0</v>
      </c>
      <c r="N56" s="115">
        <f t="shared" si="3"/>
        <v>0</v>
      </c>
    </row>
    <row r="57" spans="1:14" x14ac:dyDescent="0.25">
      <c r="A57" s="18"/>
      <c r="B57" s="18"/>
      <c r="C57" s="18" t="str">
        <f>IFERROR(VLOOKUP($B57,Tb_ProjectKosten[],4,0),"")</f>
        <v/>
      </c>
      <c r="D57" s="106" t="str" cm="1">
        <f t="array" ref="D57">IFERROR(INDEX(Tb_KostenOpties[],MATCH(B57,Tb_KostenOpties[KostenOptie],0),IFERROR(MATCH(Methode_Keuze,Tb_KostenOpties[#Headers],0),2)),"")</f>
        <v/>
      </c>
      <c r="E57" s="118">
        <f>IFERROR(VLOOKUP(B57,Tb_ProjectKosten[[#All],[KostenOmschrijving]:[Forfat_Percentage]],6,0),0)</f>
        <v>0</v>
      </c>
      <c r="F57" s="116">
        <f>SUMIFS('5. Kosten uitvoering project'!P:P,'5. Kosten uitvoering project'!E:E,SubsidieTabel!A57,'5. Kosten uitvoering project'!F:F,SubsidieTabel!B57)</f>
        <v>0</v>
      </c>
      <c r="G57" s="116">
        <f>SUMIFS('5. Kosten uitvoering project'!Q:Q,'5. Kosten uitvoering project'!E:E,SubsidieTabel!A57,'5. Kosten uitvoering project'!F:F,SubsidieTabel!B57)</f>
        <v>0</v>
      </c>
      <c r="H57" s="116">
        <f>SUMIFS('5. Kosten uitvoering project'!R:R,'5. Kosten uitvoering project'!E:E,SubsidieTabel!A57,'5. Kosten uitvoering project'!F:F,SubsidieTabel!B57)</f>
        <v>0</v>
      </c>
      <c r="I57" s="116">
        <f>SUMIFS('5. Kosten uitvoering project'!S:S,'5. Kosten uitvoering project'!E:E,SubsidieTabel!A57,'5. Kosten uitvoering project'!F:F,SubsidieTabel!B57)</f>
        <v>0</v>
      </c>
      <c r="J57" s="116">
        <f t="shared" si="0"/>
        <v>0</v>
      </c>
      <c r="K57" s="116">
        <f t="shared" si="1"/>
        <v>0</v>
      </c>
      <c r="L57" s="118" t="str">
        <f>IFERROR(VLOOKUP(A57,Lijsten!$AD:$AE,2,0),"")</f>
        <v/>
      </c>
      <c r="M57" s="116">
        <f t="shared" si="2"/>
        <v>0</v>
      </c>
      <c r="N57" s="116">
        <f t="shared" si="3"/>
        <v>0</v>
      </c>
    </row>
    <row r="58" spans="1:14" x14ac:dyDescent="0.25">
      <c r="A58" s="78"/>
      <c r="B58" s="78"/>
      <c r="C58" s="78" t="str">
        <f>IFERROR(VLOOKUP($B58,Tb_ProjectKosten[],4,0),"")</f>
        <v/>
      </c>
      <c r="D58" s="105" t="str" cm="1">
        <f t="array" ref="D58">IFERROR(INDEX(Tb_KostenOpties[],MATCH(B58,Tb_KostenOpties[KostenOptie],0),IFERROR(MATCH(Methode_Keuze,Tb_KostenOpties[#Headers],0),2)),"")</f>
        <v/>
      </c>
      <c r="E58" s="117">
        <f>IFERROR(VLOOKUP(B58,Tb_ProjectKosten[[#All],[KostenOmschrijving]:[Forfat_Percentage]],6,0),0)</f>
        <v>0</v>
      </c>
      <c r="F58" s="115">
        <f>SUMIFS('5. Kosten uitvoering project'!P:P,'5. Kosten uitvoering project'!E:E,SubsidieTabel!A58,'5. Kosten uitvoering project'!F:F,SubsidieTabel!B58)</f>
        <v>0</v>
      </c>
      <c r="G58" s="115">
        <f>SUMIFS('5. Kosten uitvoering project'!Q:Q,'5. Kosten uitvoering project'!E:E,SubsidieTabel!A58,'5. Kosten uitvoering project'!F:F,SubsidieTabel!B58)</f>
        <v>0</v>
      </c>
      <c r="H58" s="115">
        <f>SUMIFS('5. Kosten uitvoering project'!R:R,'5. Kosten uitvoering project'!E:E,SubsidieTabel!A58,'5. Kosten uitvoering project'!F:F,SubsidieTabel!B58)</f>
        <v>0</v>
      </c>
      <c r="I58" s="115">
        <f>SUMIFS('5. Kosten uitvoering project'!S:S,'5. Kosten uitvoering project'!E:E,SubsidieTabel!A58,'5. Kosten uitvoering project'!F:F,SubsidieTabel!B58)</f>
        <v>0</v>
      </c>
      <c r="J58" s="115">
        <f t="shared" si="0"/>
        <v>0</v>
      </c>
      <c r="K58" s="115">
        <f t="shared" si="1"/>
        <v>0</v>
      </c>
      <c r="L58" s="117" t="str">
        <f>IFERROR(VLOOKUP(A58,Lijsten!$AD:$AE,2,0),"")</f>
        <v/>
      </c>
      <c r="M58" s="115">
        <f t="shared" si="2"/>
        <v>0</v>
      </c>
      <c r="N58" s="115">
        <f t="shared" si="3"/>
        <v>0</v>
      </c>
    </row>
    <row r="59" spans="1:14" x14ac:dyDescent="0.25">
      <c r="A59" s="18"/>
      <c r="B59" s="18"/>
      <c r="C59" s="18" t="str">
        <f>IFERROR(VLOOKUP($B59,Tb_ProjectKosten[],4,0),"")</f>
        <v/>
      </c>
      <c r="D59" s="106" t="str" cm="1">
        <f t="array" ref="D59">IFERROR(INDEX(Tb_KostenOpties[],MATCH(B59,Tb_KostenOpties[KostenOptie],0),IFERROR(MATCH(Methode_Keuze,Tb_KostenOpties[#Headers],0),2)),"")</f>
        <v/>
      </c>
      <c r="E59" s="118">
        <f>IFERROR(VLOOKUP(B59,Tb_ProjectKosten[[#All],[KostenOmschrijving]:[Forfat_Percentage]],6,0),0)</f>
        <v>0</v>
      </c>
      <c r="F59" s="116">
        <f>SUMIFS('5. Kosten uitvoering project'!P:P,'5. Kosten uitvoering project'!E:E,SubsidieTabel!A59,'5. Kosten uitvoering project'!F:F,SubsidieTabel!B59)</f>
        <v>0</v>
      </c>
      <c r="G59" s="116">
        <f>SUMIFS('5. Kosten uitvoering project'!Q:Q,'5. Kosten uitvoering project'!E:E,SubsidieTabel!A59,'5. Kosten uitvoering project'!F:F,SubsidieTabel!B59)</f>
        <v>0</v>
      </c>
      <c r="H59" s="116">
        <f>SUMIFS('5. Kosten uitvoering project'!R:R,'5. Kosten uitvoering project'!E:E,SubsidieTabel!A59,'5. Kosten uitvoering project'!F:F,SubsidieTabel!B59)</f>
        <v>0</v>
      </c>
      <c r="I59" s="116">
        <f>SUMIFS('5. Kosten uitvoering project'!S:S,'5. Kosten uitvoering project'!E:E,SubsidieTabel!A59,'5. Kosten uitvoering project'!F:F,SubsidieTabel!B59)</f>
        <v>0</v>
      </c>
      <c r="J59" s="116">
        <f t="shared" si="0"/>
        <v>0</v>
      </c>
      <c r="K59" s="116">
        <f t="shared" si="1"/>
        <v>0</v>
      </c>
      <c r="L59" s="118" t="str">
        <f>IFERROR(VLOOKUP(A59,Lijsten!$AD:$AE,2,0),"")</f>
        <v/>
      </c>
      <c r="M59" s="116">
        <f t="shared" si="2"/>
        <v>0</v>
      </c>
      <c r="N59" s="116">
        <f t="shared" si="3"/>
        <v>0</v>
      </c>
    </row>
    <row r="60" spans="1:14" x14ac:dyDescent="0.25">
      <c r="A60" s="78"/>
      <c r="B60" s="78"/>
      <c r="C60" s="78" t="str">
        <f>IFERROR(VLOOKUP($B60,Tb_ProjectKosten[],4,0),"")</f>
        <v/>
      </c>
      <c r="D60" s="105" t="str" cm="1">
        <f t="array" ref="D60">IFERROR(INDEX(Tb_KostenOpties[],MATCH(B60,Tb_KostenOpties[KostenOptie],0),IFERROR(MATCH(Methode_Keuze,Tb_KostenOpties[#Headers],0),2)),"")</f>
        <v/>
      </c>
      <c r="E60" s="117">
        <f>IFERROR(VLOOKUP(B60,Tb_ProjectKosten[[#All],[KostenOmschrijving]:[Forfat_Percentage]],6,0),0)</f>
        <v>0</v>
      </c>
      <c r="F60" s="115">
        <f>SUMIFS('5. Kosten uitvoering project'!P:P,'5. Kosten uitvoering project'!E:E,SubsidieTabel!A60,'5. Kosten uitvoering project'!F:F,SubsidieTabel!B60)</f>
        <v>0</v>
      </c>
      <c r="G60" s="115">
        <f>SUMIFS('5. Kosten uitvoering project'!Q:Q,'5. Kosten uitvoering project'!E:E,SubsidieTabel!A60,'5. Kosten uitvoering project'!F:F,SubsidieTabel!B60)</f>
        <v>0</v>
      </c>
      <c r="H60" s="115">
        <f>SUMIFS('5. Kosten uitvoering project'!R:R,'5. Kosten uitvoering project'!E:E,SubsidieTabel!A60,'5. Kosten uitvoering project'!F:F,SubsidieTabel!B60)</f>
        <v>0</v>
      </c>
      <c r="I60" s="115">
        <f>SUMIFS('5. Kosten uitvoering project'!S:S,'5. Kosten uitvoering project'!E:E,SubsidieTabel!A60,'5. Kosten uitvoering project'!F:F,SubsidieTabel!B60)</f>
        <v>0</v>
      </c>
      <c r="J60" s="115">
        <f t="shared" si="0"/>
        <v>0</v>
      </c>
      <c r="K60" s="115">
        <f t="shared" si="1"/>
        <v>0</v>
      </c>
      <c r="L60" s="117" t="str">
        <f>IFERROR(VLOOKUP(A60,Lijsten!$AD:$AE,2,0),"")</f>
        <v/>
      </c>
      <c r="M60" s="115">
        <f t="shared" si="2"/>
        <v>0</v>
      </c>
      <c r="N60" s="115">
        <f t="shared" si="3"/>
        <v>0</v>
      </c>
    </row>
    <row r="61" spans="1:14" x14ac:dyDescent="0.25">
      <c r="A61" s="18"/>
      <c r="B61" s="18"/>
      <c r="C61" s="18" t="str">
        <f>IFERROR(VLOOKUP($B61,Tb_ProjectKosten[],4,0),"")</f>
        <v/>
      </c>
      <c r="D61" s="106" t="str" cm="1">
        <f t="array" ref="D61">IFERROR(INDEX(Tb_KostenOpties[],MATCH(B61,Tb_KostenOpties[KostenOptie],0),IFERROR(MATCH(Methode_Keuze,Tb_KostenOpties[#Headers],0),2)),"")</f>
        <v/>
      </c>
      <c r="E61" s="118">
        <f>IFERROR(VLOOKUP(B61,Tb_ProjectKosten[[#All],[KostenOmschrijving]:[Forfat_Percentage]],6,0),0)</f>
        <v>0</v>
      </c>
      <c r="F61" s="116">
        <f>SUMIFS('5. Kosten uitvoering project'!P:P,'5. Kosten uitvoering project'!E:E,SubsidieTabel!A61,'5. Kosten uitvoering project'!F:F,SubsidieTabel!B61)</f>
        <v>0</v>
      </c>
      <c r="G61" s="116">
        <f>SUMIFS('5. Kosten uitvoering project'!Q:Q,'5. Kosten uitvoering project'!E:E,SubsidieTabel!A61,'5. Kosten uitvoering project'!F:F,SubsidieTabel!B61)</f>
        <v>0</v>
      </c>
      <c r="H61" s="116">
        <f>SUMIFS('5. Kosten uitvoering project'!R:R,'5. Kosten uitvoering project'!E:E,SubsidieTabel!A61,'5. Kosten uitvoering project'!F:F,SubsidieTabel!B61)</f>
        <v>0</v>
      </c>
      <c r="I61" s="116">
        <f>SUMIFS('5. Kosten uitvoering project'!S:S,'5. Kosten uitvoering project'!E:E,SubsidieTabel!A61,'5. Kosten uitvoering project'!F:F,SubsidieTabel!B61)</f>
        <v>0</v>
      </c>
      <c r="J61" s="116">
        <f t="shared" si="0"/>
        <v>0</v>
      </c>
      <c r="K61" s="116">
        <f t="shared" si="1"/>
        <v>0</v>
      </c>
      <c r="L61" s="118" t="str">
        <f>IFERROR(VLOOKUP(A61,Lijsten!$AD:$AE,2,0),"")</f>
        <v/>
      </c>
      <c r="M61" s="116">
        <f t="shared" si="2"/>
        <v>0</v>
      </c>
      <c r="N61" s="116">
        <f t="shared" si="3"/>
        <v>0</v>
      </c>
    </row>
    <row r="62" spans="1:14" x14ac:dyDescent="0.25">
      <c r="A62" s="78"/>
      <c r="B62" s="78"/>
      <c r="C62" s="78" t="str">
        <f>IFERROR(VLOOKUP($B62,Tb_ProjectKosten[],4,0),"")</f>
        <v/>
      </c>
      <c r="D62" s="105" t="str" cm="1">
        <f t="array" ref="D62">IFERROR(INDEX(Tb_KostenOpties[],MATCH(B62,Tb_KostenOpties[KostenOptie],0),IFERROR(MATCH(Methode_Keuze,Tb_KostenOpties[#Headers],0),2)),"")</f>
        <v/>
      </c>
      <c r="E62" s="117">
        <f>IFERROR(VLOOKUP(B62,Tb_ProjectKosten[[#All],[KostenOmschrijving]:[Forfat_Percentage]],6,0),0)</f>
        <v>0</v>
      </c>
      <c r="F62" s="115">
        <f>SUMIFS('5. Kosten uitvoering project'!P:P,'5. Kosten uitvoering project'!E:E,SubsidieTabel!A62,'5. Kosten uitvoering project'!F:F,SubsidieTabel!B62)</f>
        <v>0</v>
      </c>
      <c r="G62" s="115">
        <f>SUMIFS('5. Kosten uitvoering project'!Q:Q,'5. Kosten uitvoering project'!E:E,SubsidieTabel!A62,'5. Kosten uitvoering project'!F:F,SubsidieTabel!B62)</f>
        <v>0</v>
      </c>
      <c r="H62" s="115">
        <f>SUMIFS('5. Kosten uitvoering project'!R:R,'5. Kosten uitvoering project'!E:E,SubsidieTabel!A62,'5. Kosten uitvoering project'!F:F,SubsidieTabel!B62)</f>
        <v>0</v>
      </c>
      <c r="I62" s="115">
        <f>SUMIFS('5. Kosten uitvoering project'!S:S,'5. Kosten uitvoering project'!E:E,SubsidieTabel!A62,'5. Kosten uitvoering project'!F:F,SubsidieTabel!B62)</f>
        <v>0</v>
      </c>
      <c r="J62" s="115">
        <f t="shared" si="0"/>
        <v>0</v>
      </c>
      <c r="K62" s="115">
        <f t="shared" si="1"/>
        <v>0</v>
      </c>
      <c r="L62" s="117" t="str">
        <f>IFERROR(VLOOKUP(A62,Lijsten!$AD:$AE,2,0),"")</f>
        <v/>
      </c>
      <c r="M62" s="115">
        <f t="shared" si="2"/>
        <v>0</v>
      </c>
      <c r="N62" s="115">
        <f t="shared" si="3"/>
        <v>0</v>
      </c>
    </row>
    <row r="63" spans="1:14" x14ac:dyDescent="0.25">
      <c r="A63" s="18"/>
      <c r="B63" s="18"/>
      <c r="C63" s="18" t="str">
        <f>IFERROR(VLOOKUP($B63,Tb_ProjectKosten[],4,0),"")</f>
        <v/>
      </c>
      <c r="D63" s="106" t="str" cm="1">
        <f t="array" ref="D63">IFERROR(INDEX(Tb_KostenOpties[],MATCH(B63,Tb_KostenOpties[KostenOptie],0),IFERROR(MATCH(Methode_Keuze,Tb_KostenOpties[#Headers],0),2)),"")</f>
        <v/>
      </c>
      <c r="E63" s="118">
        <f>IFERROR(VLOOKUP(B63,Tb_ProjectKosten[[#All],[KostenOmschrijving]:[Forfat_Percentage]],6,0),0)</f>
        <v>0</v>
      </c>
      <c r="F63" s="116">
        <f>SUMIFS('5. Kosten uitvoering project'!P:P,'5. Kosten uitvoering project'!E:E,SubsidieTabel!A63,'5. Kosten uitvoering project'!F:F,SubsidieTabel!B63)</f>
        <v>0</v>
      </c>
      <c r="G63" s="116">
        <f>SUMIFS('5. Kosten uitvoering project'!Q:Q,'5. Kosten uitvoering project'!E:E,SubsidieTabel!A63,'5. Kosten uitvoering project'!F:F,SubsidieTabel!B63)</f>
        <v>0</v>
      </c>
      <c r="H63" s="116">
        <f>SUMIFS('5. Kosten uitvoering project'!R:R,'5. Kosten uitvoering project'!E:E,SubsidieTabel!A63,'5. Kosten uitvoering project'!F:F,SubsidieTabel!B63)</f>
        <v>0</v>
      </c>
      <c r="I63" s="116">
        <f>SUMIFS('5. Kosten uitvoering project'!S:S,'5. Kosten uitvoering project'!E:E,SubsidieTabel!A63,'5. Kosten uitvoering project'!F:F,SubsidieTabel!B63)</f>
        <v>0</v>
      </c>
      <c r="J63" s="116">
        <f t="shared" si="0"/>
        <v>0</v>
      </c>
      <c r="K63" s="116">
        <f t="shared" si="1"/>
        <v>0</v>
      </c>
      <c r="L63" s="118" t="str">
        <f>IFERROR(VLOOKUP(A63,Lijsten!$AD:$AE,2,0),"")</f>
        <v/>
      </c>
      <c r="M63" s="116">
        <f t="shared" si="2"/>
        <v>0</v>
      </c>
      <c r="N63" s="116">
        <f t="shared" si="3"/>
        <v>0</v>
      </c>
    </row>
    <row r="64" spans="1:14" x14ac:dyDescent="0.25">
      <c r="A64" s="78"/>
      <c r="B64" s="78"/>
      <c r="C64" s="78" t="str">
        <f>IFERROR(VLOOKUP($B64,Tb_ProjectKosten[],4,0),"")</f>
        <v/>
      </c>
      <c r="D64" s="105" t="str" cm="1">
        <f t="array" ref="D64">IFERROR(INDEX(Tb_KostenOpties[],MATCH(B64,Tb_KostenOpties[KostenOptie],0),IFERROR(MATCH(Methode_Keuze,Tb_KostenOpties[#Headers],0),2)),"")</f>
        <v/>
      </c>
      <c r="E64" s="117">
        <f>IFERROR(VLOOKUP(B64,Tb_ProjectKosten[[#All],[KostenOmschrijving]:[Forfat_Percentage]],6,0),0)</f>
        <v>0</v>
      </c>
      <c r="F64" s="115">
        <f>SUMIFS('5. Kosten uitvoering project'!P:P,'5. Kosten uitvoering project'!E:E,SubsidieTabel!A64,'5. Kosten uitvoering project'!F:F,SubsidieTabel!B64)</f>
        <v>0</v>
      </c>
      <c r="G64" s="115">
        <f>SUMIFS('5. Kosten uitvoering project'!Q:Q,'5. Kosten uitvoering project'!E:E,SubsidieTabel!A64,'5. Kosten uitvoering project'!F:F,SubsidieTabel!B64)</f>
        <v>0</v>
      </c>
      <c r="H64" s="115">
        <f>SUMIFS('5. Kosten uitvoering project'!R:R,'5. Kosten uitvoering project'!E:E,SubsidieTabel!A64,'5. Kosten uitvoering project'!F:F,SubsidieTabel!B64)</f>
        <v>0</v>
      </c>
      <c r="I64" s="115">
        <f>SUMIFS('5. Kosten uitvoering project'!S:S,'5. Kosten uitvoering project'!E:E,SubsidieTabel!A64,'5. Kosten uitvoering project'!F:F,SubsidieTabel!B64)</f>
        <v>0</v>
      </c>
      <c r="J64" s="115">
        <f t="shared" si="0"/>
        <v>0</v>
      </c>
      <c r="K64" s="115">
        <f t="shared" si="1"/>
        <v>0</v>
      </c>
      <c r="L64" s="117" t="str">
        <f>IFERROR(VLOOKUP(A64,Lijsten!$AD:$AE,2,0),"")</f>
        <v/>
      </c>
      <c r="M64" s="115">
        <f t="shared" si="2"/>
        <v>0</v>
      </c>
      <c r="N64" s="115">
        <f t="shared" si="3"/>
        <v>0</v>
      </c>
    </row>
    <row r="65" spans="1:14" x14ac:dyDescent="0.25">
      <c r="A65" s="18"/>
      <c r="B65" s="18"/>
      <c r="C65" s="18" t="str">
        <f>IFERROR(VLOOKUP($B65,Tb_ProjectKosten[],4,0),"")</f>
        <v/>
      </c>
      <c r="D65" s="106" t="str" cm="1">
        <f t="array" ref="D65">IFERROR(INDEX(Tb_KostenOpties[],MATCH(B65,Tb_KostenOpties[KostenOptie],0),IFERROR(MATCH(Methode_Keuze,Tb_KostenOpties[#Headers],0),2)),"")</f>
        <v/>
      </c>
      <c r="E65" s="118">
        <f>IFERROR(VLOOKUP(B65,Tb_ProjectKosten[[#All],[KostenOmschrijving]:[Forfat_Percentage]],6,0),0)</f>
        <v>0</v>
      </c>
      <c r="F65" s="116">
        <f>SUMIFS('5. Kosten uitvoering project'!P:P,'5. Kosten uitvoering project'!E:E,SubsidieTabel!A65,'5. Kosten uitvoering project'!F:F,SubsidieTabel!B65)</f>
        <v>0</v>
      </c>
      <c r="G65" s="116">
        <f>SUMIFS('5. Kosten uitvoering project'!Q:Q,'5. Kosten uitvoering project'!E:E,SubsidieTabel!A65,'5. Kosten uitvoering project'!F:F,SubsidieTabel!B65)</f>
        <v>0</v>
      </c>
      <c r="H65" s="116">
        <f>SUMIFS('5. Kosten uitvoering project'!R:R,'5. Kosten uitvoering project'!E:E,SubsidieTabel!A65,'5. Kosten uitvoering project'!F:F,SubsidieTabel!B65)</f>
        <v>0</v>
      </c>
      <c r="I65" s="116">
        <f>SUMIFS('5. Kosten uitvoering project'!S:S,'5. Kosten uitvoering project'!E:E,SubsidieTabel!A65,'5. Kosten uitvoering project'!F:F,SubsidieTabel!B65)</f>
        <v>0</v>
      </c>
      <c r="J65" s="116">
        <f t="shared" si="0"/>
        <v>0</v>
      </c>
      <c r="K65" s="116">
        <f t="shared" si="1"/>
        <v>0</v>
      </c>
      <c r="L65" s="118" t="str">
        <f>IFERROR(VLOOKUP(A65,Lijsten!$AD:$AE,2,0),"")</f>
        <v/>
      </c>
      <c r="M65" s="116">
        <f t="shared" si="2"/>
        <v>0</v>
      </c>
      <c r="N65" s="116">
        <f t="shared" si="3"/>
        <v>0</v>
      </c>
    </row>
    <row r="66" spans="1:14" x14ac:dyDescent="0.25">
      <c r="A66" s="78"/>
      <c r="B66" s="78"/>
      <c r="C66" s="78" t="str">
        <f>IFERROR(VLOOKUP($B66,Tb_ProjectKosten[],4,0),"")</f>
        <v/>
      </c>
      <c r="D66" s="105" t="str" cm="1">
        <f t="array" ref="D66">IFERROR(INDEX(Tb_KostenOpties[],MATCH(B66,Tb_KostenOpties[KostenOptie],0),IFERROR(MATCH(Methode_Keuze,Tb_KostenOpties[#Headers],0),2)),"")</f>
        <v/>
      </c>
      <c r="E66" s="117">
        <f>IFERROR(VLOOKUP(B66,Tb_ProjectKosten[[#All],[KostenOmschrijving]:[Forfat_Percentage]],6,0),0)</f>
        <v>0</v>
      </c>
      <c r="F66" s="115">
        <f>SUMIFS('5. Kosten uitvoering project'!P:P,'5. Kosten uitvoering project'!E:E,SubsidieTabel!A66,'5. Kosten uitvoering project'!F:F,SubsidieTabel!B66)</f>
        <v>0</v>
      </c>
      <c r="G66" s="115">
        <f>SUMIFS('5. Kosten uitvoering project'!Q:Q,'5. Kosten uitvoering project'!E:E,SubsidieTabel!A66,'5. Kosten uitvoering project'!F:F,SubsidieTabel!B66)</f>
        <v>0</v>
      </c>
      <c r="H66" s="115">
        <f>SUMIFS('5. Kosten uitvoering project'!R:R,'5. Kosten uitvoering project'!E:E,SubsidieTabel!A66,'5. Kosten uitvoering project'!F:F,SubsidieTabel!B66)</f>
        <v>0</v>
      </c>
      <c r="I66" s="115">
        <f>SUMIFS('5. Kosten uitvoering project'!S:S,'5. Kosten uitvoering project'!E:E,SubsidieTabel!A66,'5. Kosten uitvoering project'!F:F,SubsidieTabel!B66)</f>
        <v>0</v>
      </c>
      <c r="J66" s="115">
        <f t="shared" si="0"/>
        <v>0</v>
      </c>
      <c r="K66" s="115">
        <f t="shared" si="1"/>
        <v>0</v>
      </c>
      <c r="L66" s="117" t="str">
        <f>IFERROR(VLOOKUP(A66,Lijsten!$AD:$AE,2,0),"")</f>
        <v/>
      </c>
      <c r="M66" s="115">
        <f t="shared" si="2"/>
        <v>0</v>
      </c>
      <c r="N66" s="115">
        <f t="shared" si="3"/>
        <v>0</v>
      </c>
    </row>
    <row r="67" spans="1:14" x14ac:dyDescent="0.25">
      <c r="A67" s="18"/>
      <c r="B67" s="18"/>
      <c r="C67" s="18" t="str">
        <f>IFERROR(VLOOKUP($B67,Tb_ProjectKosten[],4,0),"")</f>
        <v/>
      </c>
      <c r="D67" s="106" t="str" cm="1">
        <f t="array" ref="D67">IFERROR(INDEX(Tb_KostenOpties[],MATCH(B67,Tb_KostenOpties[KostenOptie],0),IFERROR(MATCH(Methode_Keuze,Tb_KostenOpties[#Headers],0),2)),"")</f>
        <v/>
      </c>
      <c r="E67" s="118">
        <f>IFERROR(VLOOKUP(B67,Tb_ProjectKosten[[#All],[KostenOmschrijving]:[Forfat_Percentage]],6,0),0)</f>
        <v>0</v>
      </c>
      <c r="F67" s="116">
        <f>SUMIFS('5. Kosten uitvoering project'!P:P,'5. Kosten uitvoering project'!E:E,SubsidieTabel!A67,'5. Kosten uitvoering project'!F:F,SubsidieTabel!B67)</f>
        <v>0</v>
      </c>
      <c r="G67" s="116">
        <f>SUMIFS('5. Kosten uitvoering project'!Q:Q,'5. Kosten uitvoering project'!E:E,SubsidieTabel!A67,'5. Kosten uitvoering project'!F:F,SubsidieTabel!B67)</f>
        <v>0</v>
      </c>
      <c r="H67" s="116">
        <f>SUMIFS('5. Kosten uitvoering project'!R:R,'5. Kosten uitvoering project'!E:E,SubsidieTabel!A67,'5. Kosten uitvoering project'!F:F,SubsidieTabel!B67)</f>
        <v>0</v>
      </c>
      <c r="I67" s="116">
        <f>SUMIFS('5. Kosten uitvoering project'!S:S,'5. Kosten uitvoering project'!E:E,SubsidieTabel!A67,'5. Kosten uitvoering project'!F:F,SubsidieTabel!B67)</f>
        <v>0</v>
      </c>
      <c r="J67" s="116">
        <f t="shared" ref="J67:J100" si="6">IFERROR(F67+H67,"")</f>
        <v>0</v>
      </c>
      <c r="K67" s="116">
        <f t="shared" ref="K67:K100" si="7">IFERROR(G67+I67,"")</f>
        <v>0</v>
      </c>
      <c r="L67" s="118" t="str">
        <f>IFERROR(VLOOKUP(A67,Lijsten!$AD:$AE,2,0),"")</f>
        <v/>
      </c>
      <c r="M67" s="116">
        <f t="shared" ref="M67:M100" si="8">IFERROR($L67*(F67+H67),0)</f>
        <v>0</v>
      </c>
      <c r="N67" s="116">
        <f t="shared" ref="N67:N100" si="9">IFERROR($L67*(G67+I67),0)</f>
        <v>0</v>
      </c>
    </row>
    <row r="68" spans="1:14" x14ac:dyDescent="0.25">
      <c r="A68" s="78"/>
      <c r="B68" s="78"/>
      <c r="C68" s="78" t="str">
        <f>IFERROR(VLOOKUP($B68,Tb_ProjectKosten[],4,0),"")</f>
        <v/>
      </c>
      <c r="D68" s="105" t="str" cm="1">
        <f t="array" ref="D68">IFERROR(INDEX(Tb_KostenOpties[],MATCH(B68,Tb_KostenOpties[KostenOptie],0),IFERROR(MATCH(Methode_Keuze,Tb_KostenOpties[#Headers],0),2)),"")</f>
        <v/>
      </c>
      <c r="E68" s="117">
        <f>IFERROR(VLOOKUP(B68,Tb_ProjectKosten[[#All],[KostenOmschrijving]:[Forfat_Percentage]],6,0),0)</f>
        <v>0</v>
      </c>
      <c r="F68" s="115">
        <f>SUMIFS('5. Kosten uitvoering project'!P:P,'5. Kosten uitvoering project'!E:E,SubsidieTabel!A68,'5. Kosten uitvoering project'!F:F,SubsidieTabel!B68)</f>
        <v>0</v>
      </c>
      <c r="G68" s="115">
        <f>SUMIFS('5. Kosten uitvoering project'!Q:Q,'5. Kosten uitvoering project'!E:E,SubsidieTabel!A68,'5. Kosten uitvoering project'!F:F,SubsidieTabel!B68)</f>
        <v>0</v>
      </c>
      <c r="H68" s="115">
        <f>SUMIFS('5. Kosten uitvoering project'!R:R,'5. Kosten uitvoering project'!E:E,SubsidieTabel!A68,'5. Kosten uitvoering project'!F:F,SubsidieTabel!B68)</f>
        <v>0</v>
      </c>
      <c r="I68" s="115">
        <f>SUMIFS('5. Kosten uitvoering project'!S:S,'5. Kosten uitvoering project'!E:E,SubsidieTabel!A68,'5. Kosten uitvoering project'!F:F,SubsidieTabel!B68)</f>
        <v>0</v>
      </c>
      <c r="J68" s="115">
        <f t="shared" si="6"/>
        <v>0</v>
      </c>
      <c r="K68" s="115">
        <f t="shared" si="7"/>
        <v>0</v>
      </c>
      <c r="L68" s="117" t="str">
        <f>IFERROR(VLOOKUP(A68,Lijsten!$AD:$AE,2,0),"")</f>
        <v/>
      </c>
      <c r="M68" s="115">
        <f t="shared" si="8"/>
        <v>0</v>
      </c>
      <c r="N68" s="115">
        <f t="shared" si="9"/>
        <v>0</v>
      </c>
    </row>
    <row r="69" spans="1:14" x14ac:dyDescent="0.25">
      <c r="A69" s="18"/>
      <c r="B69" s="18"/>
      <c r="C69" s="18" t="str">
        <f>IFERROR(VLOOKUP($B69,Tb_ProjectKosten[],4,0),"")</f>
        <v/>
      </c>
      <c r="D69" s="106" t="str" cm="1">
        <f t="array" ref="D69">IFERROR(INDEX(Tb_KostenOpties[],MATCH(B69,Tb_KostenOpties[KostenOptie],0),IFERROR(MATCH(Methode_Keuze,Tb_KostenOpties[#Headers],0),2)),"")</f>
        <v/>
      </c>
      <c r="E69" s="118">
        <f>IFERROR(VLOOKUP(B69,Tb_ProjectKosten[[#All],[KostenOmschrijving]:[Forfat_Percentage]],6,0),0)</f>
        <v>0</v>
      </c>
      <c r="F69" s="116">
        <f>SUMIFS('5. Kosten uitvoering project'!P:P,'5. Kosten uitvoering project'!E:E,SubsidieTabel!A69,'5. Kosten uitvoering project'!F:F,SubsidieTabel!B69)</f>
        <v>0</v>
      </c>
      <c r="G69" s="116">
        <f>SUMIFS('5. Kosten uitvoering project'!Q:Q,'5. Kosten uitvoering project'!E:E,SubsidieTabel!A69,'5. Kosten uitvoering project'!F:F,SubsidieTabel!B69)</f>
        <v>0</v>
      </c>
      <c r="H69" s="116">
        <f>SUMIFS('5. Kosten uitvoering project'!R:R,'5. Kosten uitvoering project'!E:E,SubsidieTabel!A69,'5. Kosten uitvoering project'!F:F,SubsidieTabel!B69)</f>
        <v>0</v>
      </c>
      <c r="I69" s="116">
        <f>SUMIFS('5. Kosten uitvoering project'!S:S,'5. Kosten uitvoering project'!E:E,SubsidieTabel!A69,'5. Kosten uitvoering project'!F:F,SubsidieTabel!B69)</f>
        <v>0</v>
      </c>
      <c r="J69" s="116">
        <f t="shared" si="6"/>
        <v>0</v>
      </c>
      <c r="K69" s="116">
        <f t="shared" si="7"/>
        <v>0</v>
      </c>
      <c r="L69" s="118" t="str">
        <f>IFERROR(VLOOKUP(A69,Lijsten!$AD:$AE,2,0),"")</f>
        <v/>
      </c>
      <c r="M69" s="116">
        <f t="shared" si="8"/>
        <v>0</v>
      </c>
      <c r="N69" s="116">
        <f t="shared" si="9"/>
        <v>0</v>
      </c>
    </row>
    <row r="70" spans="1:14" x14ac:dyDescent="0.25">
      <c r="A70" s="78"/>
      <c r="B70" s="78"/>
      <c r="C70" s="78" t="str">
        <f>IFERROR(VLOOKUP($B70,Tb_ProjectKosten[],4,0),"")</f>
        <v/>
      </c>
      <c r="D70" s="105" t="str" cm="1">
        <f t="array" ref="D70">IFERROR(INDEX(Tb_KostenOpties[],MATCH(B70,Tb_KostenOpties[KostenOptie],0),IFERROR(MATCH(Methode_Keuze,Tb_KostenOpties[#Headers],0),2)),"")</f>
        <v/>
      </c>
      <c r="E70" s="117">
        <f>IFERROR(VLOOKUP(B70,Tb_ProjectKosten[[#All],[KostenOmschrijving]:[Forfat_Percentage]],6,0),0)</f>
        <v>0</v>
      </c>
      <c r="F70" s="115">
        <f>SUMIFS('5. Kosten uitvoering project'!P:P,'5. Kosten uitvoering project'!E:E,SubsidieTabel!A70,'5. Kosten uitvoering project'!F:F,SubsidieTabel!B70)</f>
        <v>0</v>
      </c>
      <c r="G70" s="115">
        <f>SUMIFS('5. Kosten uitvoering project'!Q:Q,'5. Kosten uitvoering project'!E:E,SubsidieTabel!A70,'5. Kosten uitvoering project'!F:F,SubsidieTabel!B70)</f>
        <v>0</v>
      </c>
      <c r="H70" s="115">
        <f>SUMIFS('5. Kosten uitvoering project'!R:R,'5. Kosten uitvoering project'!E:E,SubsidieTabel!A70,'5. Kosten uitvoering project'!F:F,SubsidieTabel!B70)</f>
        <v>0</v>
      </c>
      <c r="I70" s="115">
        <f>SUMIFS('5. Kosten uitvoering project'!S:S,'5. Kosten uitvoering project'!E:E,SubsidieTabel!A70,'5. Kosten uitvoering project'!F:F,SubsidieTabel!B70)</f>
        <v>0</v>
      </c>
      <c r="J70" s="115">
        <f t="shared" si="6"/>
        <v>0</v>
      </c>
      <c r="K70" s="115">
        <f t="shared" si="7"/>
        <v>0</v>
      </c>
      <c r="L70" s="117" t="str">
        <f>IFERROR(VLOOKUP(A70,Lijsten!$AD:$AE,2,0),"")</f>
        <v/>
      </c>
      <c r="M70" s="115">
        <f t="shared" si="8"/>
        <v>0</v>
      </c>
      <c r="N70" s="115">
        <f t="shared" si="9"/>
        <v>0</v>
      </c>
    </row>
    <row r="71" spans="1:14" x14ac:dyDescent="0.25">
      <c r="A71" s="18"/>
      <c r="B71" s="18"/>
      <c r="C71" s="18" t="str">
        <f>IFERROR(VLOOKUP($B71,Tb_ProjectKosten[],4,0),"")</f>
        <v/>
      </c>
      <c r="D71" s="106" t="str" cm="1">
        <f t="array" ref="D71">IFERROR(INDEX(Tb_KostenOpties[],MATCH(B71,Tb_KostenOpties[KostenOptie],0),IFERROR(MATCH(Methode_Keuze,Tb_KostenOpties[#Headers],0),2)),"")</f>
        <v/>
      </c>
      <c r="E71" s="118">
        <f>IFERROR(VLOOKUP(B71,Tb_ProjectKosten[[#All],[KostenOmschrijving]:[Forfat_Percentage]],6,0),0)</f>
        <v>0</v>
      </c>
      <c r="F71" s="116">
        <f>SUMIFS('5. Kosten uitvoering project'!P:P,'5. Kosten uitvoering project'!E:E,SubsidieTabel!A71,'5. Kosten uitvoering project'!F:F,SubsidieTabel!B71)</f>
        <v>0</v>
      </c>
      <c r="G71" s="116">
        <f>SUMIFS('5. Kosten uitvoering project'!Q:Q,'5. Kosten uitvoering project'!E:E,SubsidieTabel!A71,'5. Kosten uitvoering project'!F:F,SubsidieTabel!B71)</f>
        <v>0</v>
      </c>
      <c r="H71" s="116">
        <f>SUMIFS('5. Kosten uitvoering project'!R:R,'5. Kosten uitvoering project'!E:E,SubsidieTabel!A71,'5. Kosten uitvoering project'!F:F,SubsidieTabel!B71)</f>
        <v>0</v>
      </c>
      <c r="I71" s="116">
        <f>SUMIFS('5. Kosten uitvoering project'!S:S,'5. Kosten uitvoering project'!E:E,SubsidieTabel!A71,'5. Kosten uitvoering project'!F:F,SubsidieTabel!B71)</f>
        <v>0</v>
      </c>
      <c r="J71" s="116">
        <f t="shared" si="6"/>
        <v>0</v>
      </c>
      <c r="K71" s="116">
        <f t="shared" si="7"/>
        <v>0</v>
      </c>
      <c r="L71" s="118" t="str">
        <f>IFERROR(VLOOKUP(A71,Lijsten!$AD:$AE,2,0),"")</f>
        <v/>
      </c>
      <c r="M71" s="116">
        <f t="shared" si="8"/>
        <v>0</v>
      </c>
      <c r="N71" s="116">
        <f t="shared" si="9"/>
        <v>0</v>
      </c>
    </row>
    <row r="72" spans="1:14" x14ac:dyDescent="0.25">
      <c r="A72" s="78"/>
      <c r="B72" s="78"/>
      <c r="C72" s="78" t="str">
        <f>IFERROR(VLOOKUP($B72,Tb_ProjectKosten[],4,0),"")</f>
        <v/>
      </c>
      <c r="D72" s="105" t="str" cm="1">
        <f t="array" ref="D72">IFERROR(INDEX(Tb_KostenOpties[],MATCH(B72,Tb_KostenOpties[KostenOptie],0),IFERROR(MATCH(Methode_Keuze,Tb_KostenOpties[#Headers],0),2)),"")</f>
        <v/>
      </c>
      <c r="E72" s="117">
        <f>IFERROR(VLOOKUP(B72,Tb_ProjectKosten[[#All],[KostenOmschrijving]:[Forfat_Percentage]],6,0),0)</f>
        <v>0</v>
      </c>
      <c r="F72" s="115">
        <f>SUMIFS('5. Kosten uitvoering project'!P:P,'5. Kosten uitvoering project'!E:E,SubsidieTabel!A72,'5. Kosten uitvoering project'!F:F,SubsidieTabel!B72)</f>
        <v>0</v>
      </c>
      <c r="G72" s="115">
        <f>SUMIFS('5. Kosten uitvoering project'!Q:Q,'5. Kosten uitvoering project'!E:E,SubsidieTabel!A72,'5. Kosten uitvoering project'!F:F,SubsidieTabel!B72)</f>
        <v>0</v>
      </c>
      <c r="H72" s="115">
        <f>SUMIFS('5. Kosten uitvoering project'!R:R,'5. Kosten uitvoering project'!E:E,SubsidieTabel!A72,'5. Kosten uitvoering project'!F:F,SubsidieTabel!B72)</f>
        <v>0</v>
      </c>
      <c r="I72" s="115">
        <f>SUMIFS('5. Kosten uitvoering project'!S:S,'5. Kosten uitvoering project'!E:E,SubsidieTabel!A72,'5. Kosten uitvoering project'!F:F,SubsidieTabel!B72)</f>
        <v>0</v>
      </c>
      <c r="J72" s="115">
        <f t="shared" si="6"/>
        <v>0</v>
      </c>
      <c r="K72" s="115">
        <f t="shared" si="7"/>
        <v>0</v>
      </c>
      <c r="L72" s="117" t="str">
        <f>IFERROR(VLOOKUP(A72,Lijsten!$AD:$AE,2,0),"")</f>
        <v/>
      </c>
      <c r="M72" s="115">
        <f t="shared" si="8"/>
        <v>0</v>
      </c>
      <c r="N72" s="115">
        <f t="shared" si="9"/>
        <v>0</v>
      </c>
    </row>
    <row r="73" spans="1:14" x14ac:dyDescent="0.25">
      <c r="A73" s="18"/>
      <c r="B73" s="18"/>
      <c r="C73" s="18" t="str">
        <f>IFERROR(VLOOKUP($B73,Tb_ProjectKosten[],4,0),"")</f>
        <v/>
      </c>
      <c r="D73" s="106" t="str" cm="1">
        <f t="array" ref="D73">IFERROR(INDEX(Tb_KostenOpties[],MATCH(B73,Tb_KostenOpties[KostenOptie],0),IFERROR(MATCH(Methode_Keuze,Tb_KostenOpties[#Headers],0),2)),"")</f>
        <v/>
      </c>
      <c r="E73" s="118">
        <f>IFERROR(VLOOKUP(B73,Tb_ProjectKosten[[#All],[KostenOmschrijving]:[Forfat_Percentage]],6,0),0)</f>
        <v>0</v>
      </c>
      <c r="F73" s="116">
        <f>SUMIFS('5. Kosten uitvoering project'!P:P,'5. Kosten uitvoering project'!E:E,SubsidieTabel!A73,'5. Kosten uitvoering project'!F:F,SubsidieTabel!B73)</f>
        <v>0</v>
      </c>
      <c r="G73" s="116">
        <f>SUMIFS('5. Kosten uitvoering project'!Q:Q,'5. Kosten uitvoering project'!E:E,SubsidieTabel!A73,'5. Kosten uitvoering project'!F:F,SubsidieTabel!B73)</f>
        <v>0</v>
      </c>
      <c r="H73" s="116">
        <f>SUMIFS('5. Kosten uitvoering project'!R:R,'5. Kosten uitvoering project'!E:E,SubsidieTabel!A73,'5. Kosten uitvoering project'!F:F,SubsidieTabel!B73)</f>
        <v>0</v>
      </c>
      <c r="I73" s="116">
        <f>SUMIFS('5. Kosten uitvoering project'!S:S,'5. Kosten uitvoering project'!E:E,SubsidieTabel!A73,'5. Kosten uitvoering project'!F:F,SubsidieTabel!B73)</f>
        <v>0</v>
      </c>
      <c r="J73" s="116">
        <f t="shared" si="6"/>
        <v>0</v>
      </c>
      <c r="K73" s="116">
        <f t="shared" si="7"/>
        <v>0</v>
      </c>
      <c r="L73" s="118" t="str">
        <f>IFERROR(VLOOKUP(A73,Lijsten!$AD:$AE,2,0),"")</f>
        <v/>
      </c>
      <c r="M73" s="116">
        <f t="shared" si="8"/>
        <v>0</v>
      </c>
      <c r="N73" s="116">
        <f t="shared" si="9"/>
        <v>0</v>
      </c>
    </row>
    <row r="74" spans="1:14" x14ac:dyDescent="0.25">
      <c r="A74" s="78"/>
      <c r="B74" s="78"/>
      <c r="C74" s="78" t="str">
        <f>IFERROR(VLOOKUP($B74,Tb_ProjectKosten[],4,0),"")</f>
        <v/>
      </c>
      <c r="D74" s="105" t="str" cm="1">
        <f t="array" ref="D74">IFERROR(INDEX(Tb_KostenOpties[],MATCH(B74,Tb_KostenOpties[KostenOptie],0),IFERROR(MATCH(Methode_Keuze,Tb_KostenOpties[#Headers],0),2)),"")</f>
        <v/>
      </c>
      <c r="E74" s="117">
        <f>IFERROR(VLOOKUP(B74,Tb_ProjectKosten[[#All],[KostenOmschrijving]:[Forfat_Percentage]],6,0),0)</f>
        <v>0</v>
      </c>
      <c r="F74" s="115">
        <f>SUMIFS('5. Kosten uitvoering project'!P:P,'5. Kosten uitvoering project'!E:E,SubsidieTabel!A74,'5. Kosten uitvoering project'!F:F,SubsidieTabel!B74)</f>
        <v>0</v>
      </c>
      <c r="G74" s="115">
        <f>SUMIFS('5. Kosten uitvoering project'!Q:Q,'5. Kosten uitvoering project'!E:E,SubsidieTabel!A74,'5. Kosten uitvoering project'!F:F,SubsidieTabel!B74)</f>
        <v>0</v>
      </c>
      <c r="H74" s="115">
        <f>SUMIFS('5. Kosten uitvoering project'!R:R,'5. Kosten uitvoering project'!E:E,SubsidieTabel!A74,'5. Kosten uitvoering project'!F:F,SubsidieTabel!B74)</f>
        <v>0</v>
      </c>
      <c r="I74" s="115">
        <f>SUMIFS('5. Kosten uitvoering project'!S:S,'5. Kosten uitvoering project'!E:E,SubsidieTabel!A74,'5. Kosten uitvoering project'!F:F,SubsidieTabel!B74)</f>
        <v>0</v>
      </c>
      <c r="J74" s="115">
        <f t="shared" si="6"/>
        <v>0</v>
      </c>
      <c r="K74" s="115">
        <f t="shared" si="7"/>
        <v>0</v>
      </c>
      <c r="L74" s="117" t="str">
        <f>IFERROR(VLOOKUP(A74,Lijsten!$AD:$AE,2,0),"")</f>
        <v/>
      </c>
      <c r="M74" s="115">
        <f t="shared" si="8"/>
        <v>0</v>
      </c>
      <c r="N74" s="115">
        <f t="shared" si="9"/>
        <v>0</v>
      </c>
    </row>
    <row r="75" spans="1:14" x14ac:dyDescent="0.25">
      <c r="A75" s="18"/>
      <c r="B75" s="18"/>
      <c r="C75" s="18" t="str">
        <f>IFERROR(VLOOKUP($B75,Tb_ProjectKosten[],4,0),"")</f>
        <v/>
      </c>
      <c r="D75" s="106" t="str" cm="1">
        <f t="array" ref="D75">IFERROR(INDEX(Tb_KostenOpties[],MATCH(B75,Tb_KostenOpties[KostenOptie],0),IFERROR(MATCH(Methode_Keuze,Tb_KostenOpties[#Headers],0),2)),"")</f>
        <v/>
      </c>
      <c r="E75" s="118">
        <f>IFERROR(VLOOKUP(B75,Tb_ProjectKosten[[#All],[KostenOmschrijving]:[Forfat_Percentage]],6,0),0)</f>
        <v>0</v>
      </c>
      <c r="F75" s="116">
        <f>SUMIFS('5. Kosten uitvoering project'!P:P,'5. Kosten uitvoering project'!E:E,SubsidieTabel!A75,'5. Kosten uitvoering project'!F:F,SubsidieTabel!B75)</f>
        <v>0</v>
      </c>
      <c r="G75" s="116">
        <f>SUMIFS('5. Kosten uitvoering project'!Q:Q,'5. Kosten uitvoering project'!E:E,SubsidieTabel!A75,'5. Kosten uitvoering project'!F:F,SubsidieTabel!B75)</f>
        <v>0</v>
      </c>
      <c r="H75" s="116">
        <f>SUMIFS('5. Kosten uitvoering project'!R:R,'5. Kosten uitvoering project'!E:E,SubsidieTabel!A75,'5. Kosten uitvoering project'!F:F,SubsidieTabel!B75)</f>
        <v>0</v>
      </c>
      <c r="I75" s="116">
        <f>SUMIFS('5. Kosten uitvoering project'!S:S,'5. Kosten uitvoering project'!E:E,SubsidieTabel!A75,'5. Kosten uitvoering project'!F:F,SubsidieTabel!B75)</f>
        <v>0</v>
      </c>
      <c r="J75" s="116">
        <f t="shared" si="6"/>
        <v>0</v>
      </c>
      <c r="K75" s="116">
        <f t="shared" si="7"/>
        <v>0</v>
      </c>
      <c r="L75" s="118" t="str">
        <f>IFERROR(VLOOKUP(A75,Lijsten!$AD:$AE,2,0),"")</f>
        <v/>
      </c>
      <c r="M75" s="116">
        <f t="shared" si="8"/>
        <v>0</v>
      </c>
      <c r="N75" s="116">
        <f t="shared" si="9"/>
        <v>0</v>
      </c>
    </row>
    <row r="76" spans="1:14" x14ac:dyDescent="0.25">
      <c r="A76" s="78"/>
      <c r="B76" s="78"/>
      <c r="C76" s="78" t="str">
        <f>IFERROR(VLOOKUP($B76,Tb_ProjectKosten[],4,0),"")</f>
        <v/>
      </c>
      <c r="D76" s="105" t="str" cm="1">
        <f t="array" ref="D76">IFERROR(INDEX(Tb_KostenOpties[],MATCH(B76,Tb_KostenOpties[KostenOptie],0),IFERROR(MATCH(Methode_Keuze,Tb_KostenOpties[#Headers],0),2)),"")</f>
        <v/>
      </c>
      <c r="E76" s="117">
        <f>IFERROR(VLOOKUP(B76,Tb_ProjectKosten[[#All],[KostenOmschrijving]:[Forfat_Percentage]],6,0),0)</f>
        <v>0</v>
      </c>
      <c r="F76" s="115">
        <f>SUMIFS('5. Kosten uitvoering project'!P:P,'5. Kosten uitvoering project'!E:E,SubsidieTabel!A76,'5. Kosten uitvoering project'!F:F,SubsidieTabel!B76)</f>
        <v>0</v>
      </c>
      <c r="G76" s="115">
        <f>SUMIFS('5. Kosten uitvoering project'!Q:Q,'5. Kosten uitvoering project'!E:E,SubsidieTabel!A76,'5. Kosten uitvoering project'!F:F,SubsidieTabel!B76)</f>
        <v>0</v>
      </c>
      <c r="H76" s="115">
        <f>SUMIFS('5. Kosten uitvoering project'!R:R,'5. Kosten uitvoering project'!E:E,SubsidieTabel!A76,'5. Kosten uitvoering project'!F:F,SubsidieTabel!B76)</f>
        <v>0</v>
      </c>
      <c r="I76" s="115">
        <f>SUMIFS('5. Kosten uitvoering project'!S:S,'5. Kosten uitvoering project'!E:E,SubsidieTabel!A76,'5. Kosten uitvoering project'!F:F,SubsidieTabel!B76)</f>
        <v>0</v>
      </c>
      <c r="J76" s="115">
        <f t="shared" si="6"/>
        <v>0</v>
      </c>
      <c r="K76" s="115">
        <f t="shared" si="7"/>
        <v>0</v>
      </c>
      <c r="L76" s="117" t="str">
        <f>IFERROR(VLOOKUP(A76,Lijsten!$AD:$AE,2,0),"")</f>
        <v/>
      </c>
      <c r="M76" s="115">
        <f t="shared" si="8"/>
        <v>0</v>
      </c>
      <c r="N76" s="115">
        <f t="shared" si="9"/>
        <v>0</v>
      </c>
    </row>
    <row r="77" spans="1:14" x14ac:dyDescent="0.25">
      <c r="A77" s="18"/>
      <c r="B77" s="18"/>
      <c r="C77" s="18" t="str">
        <f>IFERROR(VLOOKUP($B77,Tb_ProjectKosten[],4,0),"")</f>
        <v/>
      </c>
      <c r="D77" s="106" t="str" cm="1">
        <f t="array" ref="D77">IFERROR(INDEX(Tb_KostenOpties[],MATCH(B77,Tb_KostenOpties[KostenOptie],0),IFERROR(MATCH(Methode_Keuze,Tb_KostenOpties[#Headers],0),2)),"")</f>
        <v/>
      </c>
      <c r="E77" s="118">
        <f>IFERROR(VLOOKUP(B77,Tb_ProjectKosten[[#All],[KostenOmschrijving]:[Forfat_Percentage]],6,0),0)</f>
        <v>0</v>
      </c>
      <c r="F77" s="116">
        <f>SUMIFS('5. Kosten uitvoering project'!P:P,'5. Kosten uitvoering project'!E:E,SubsidieTabel!A77,'5. Kosten uitvoering project'!F:F,SubsidieTabel!B77)</f>
        <v>0</v>
      </c>
      <c r="G77" s="116">
        <f>SUMIFS('5. Kosten uitvoering project'!Q:Q,'5. Kosten uitvoering project'!E:E,SubsidieTabel!A77,'5. Kosten uitvoering project'!F:F,SubsidieTabel!B77)</f>
        <v>0</v>
      </c>
      <c r="H77" s="116">
        <f>SUMIFS('5. Kosten uitvoering project'!R:R,'5. Kosten uitvoering project'!E:E,SubsidieTabel!A77,'5. Kosten uitvoering project'!F:F,SubsidieTabel!B77)</f>
        <v>0</v>
      </c>
      <c r="I77" s="116">
        <f>SUMIFS('5. Kosten uitvoering project'!S:S,'5. Kosten uitvoering project'!E:E,SubsidieTabel!A77,'5. Kosten uitvoering project'!F:F,SubsidieTabel!B77)</f>
        <v>0</v>
      </c>
      <c r="J77" s="116">
        <f t="shared" si="6"/>
        <v>0</v>
      </c>
      <c r="K77" s="116">
        <f t="shared" si="7"/>
        <v>0</v>
      </c>
      <c r="L77" s="118" t="str">
        <f>IFERROR(VLOOKUP(A77,Lijsten!$AD:$AE,2,0),"")</f>
        <v/>
      </c>
      <c r="M77" s="116">
        <f t="shared" si="8"/>
        <v>0</v>
      </c>
      <c r="N77" s="116">
        <f t="shared" si="9"/>
        <v>0</v>
      </c>
    </row>
    <row r="78" spans="1:14" x14ac:dyDescent="0.25">
      <c r="A78" s="78"/>
      <c r="B78" s="78"/>
      <c r="C78" s="78" t="str">
        <f>IFERROR(VLOOKUP($B78,Tb_ProjectKosten[],4,0),"")</f>
        <v/>
      </c>
      <c r="D78" s="105" t="str" cm="1">
        <f t="array" ref="D78">IFERROR(INDEX(Tb_KostenOpties[],MATCH(B78,Tb_KostenOpties[KostenOptie],0),IFERROR(MATCH(Methode_Keuze,Tb_KostenOpties[#Headers],0),2)),"")</f>
        <v/>
      </c>
      <c r="E78" s="117">
        <f>IFERROR(VLOOKUP(B78,Tb_ProjectKosten[[#All],[KostenOmschrijving]:[Forfat_Percentage]],6,0),0)</f>
        <v>0</v>
      </c>
      <c r="F78" s="115">
        <f>SUMIFS('5. Kosten uitvoering project'!P:P,'5. Kosten uitvoering project'!E:E,SubsidieTabel!A78,'5. Kosten uitvoering project'!F:F,SubsidieTabel!B78)</f>
        <v>0</v>
      </c>
      <c r="G78" s="115">
        <f>SUMIFS('5. Kosten uitvoering project'!Q:Q,'5. Kosten uitvoering project'!E:E,SubsidieTabel!A78,'5. Kosten uitvoering project'!F:F,SubsidieTabel!B78)</f>
        <v>0</v>
      </c>
      <c r="H78" s="115">
        <f>SUMIFS('5. Kosten uitvoering project'!R:R,'5. Kosten uitvoering project'!E:E,SubsidieTabel!A78,'5. Kosten uitvoering project'!F:F,SubsidieTabel!B78)</f>
        <v>0</v>
      </c>
      <c r="I78" s="115">
        <f>SUMIFS('5. Kosten uitvoering project'!S:S,'5. Kosten uitvoering project'!E:E,SubsidieTabel!A78,'5. Kosten uitvoering project'!F:F,SubsidieTabel!B78)</f>
        <v>0</v>
      </c>
      <c r="J78" s="115">
        <f t="shared" si="6"/>
        <v>0</v>
      </c>
      <c r="K78" s="115">
        <f t="shared" si="7"/>
        <v>0</v>
      </c>
      <c r="L78" s="117" t="str">
        <f>IFERROR(VLOOKUP(A78,Lijsten!$AD:$AE,2,0),"")</f>
        <v/>
      </c>
      <c r="M78" s="115">
        <f t="shared" si="8"/>
        <v>0</v>
      </c>
      <c r="N78" s="115">
        <f t="shared" si="9"/>
        <v>0</v>
      </c>
    </row>
    <row r="79" spans="1:14" x14ac:dyDescent="0.25">
      <c r="A79" s="18"/>
      <c r="B79" s="18"/>
      <c r="C79" s="18" t="str">
        <f>IFERROR(VLOOKUP($B79,Tb_ProjectKosten[],4,0),"")</f>
        <v/>
      </c>
      <c r="D79" s="106" t="str" cm="1">
        <f t="array" ref="D79">IFERROR(INDEX(Tb_KostenOpties[],MATCH(B79,Tb_KostenOpties[KostenOptie],0),IFERROR(MATCH(Methode_Keuze,Tb_KostenOpties[#Headers],0),2)),"")</f>
        <v/>
      </c>
      <c r="E79" s="118">
        <f>IFERROR(VLOOKUP(B79,Tb_ProjectKosten[[#All],[KostenOmschrijving]:[Forfat_Percentage]],6,0),0)</f>
        <v>0</v>
      </c>
      <c r="F79" s="116">
        <f>SUMIFS('5. Kosten uitvoering project'!P:P,'5. Kosten uitvoering project'!E:E,SubsidieTabel!A79,'5. Kosten uitvoering project'!F:F,SubsidieTabel!B79)</f>
        <v>0</v>
      </c>
      <c r="G79" s="116">
        <f>SUMIFS('5. Kosten uitvoering project'!Q:Q,'5. Kosten uitvoering project'!E:E,SubsidieTabel!A79,'5. Kosten uitvoering project'!F:F,SubsidieTabel!B79)</f>
        <v>0</v>
      </c>
      <c r="H79" s="116">
        <f>SUMIFS('5. Kosten uitvoering project'!R:R,'5. Kosten uitvoering project'!E:E,SubsidieTabel!A79,'5. Kosten uitvoering project'!F:F,SubsidieTabel!B79)</f>
        <v>0</v>
      </c>
      <c r="I79" s="116">
        <f>SUMIFS('5. Kosten uitvoering project'!S:S,'5. Kosten uitvoering project'!E:E,SubsidieTabel!A79,'5. Kosten uitvoering project'!F:F,SubsidieTabel!B79)</f>
        <v>0</v>
      </c>
      <c r="J79" s="116">
        <f t="shared" si="6"/>
        <v>0</v>
      </c>
      <c r="K79" s="116">
        <f t="shared" si="7"/>
        <v>0</v>
      </c>
      <c r="L79" s="118" t="str">
        <f>IFERROR(VLOOKUP(A79,Lijsten!$AD:$AE,2,0),"")</f>
        <v/>
      </c>
      <c r="M79" s="116">
        <f t="shared" si="8"/>
        <v>0</v>
      </c>
      <c r="N79" s="116">
        <f t="shared" si="9"/>
        <v>0</v>
      </c>
    </row>
    <row r="80" spans="1:14" x14ac:dyDescent="0.25">
      <c r="A80" s="78"/>
      <c r="B80" s="78"/>
      <c r="C80" s="78" t="str">
        <f>IFERROR(VLOOKUP($B80,Tb_ProjectKosten[],4,0),"")</f>
        <v/>
      </c>
      <c r="D80" s="105" t="str" cm="1">
        <f t="array" ref="D80">IFERROR(INDEX(Tb_KostenOpties[],MATCH(B80,Tb_KostenOpties[KostenOptie],0),IFERROR(MATCH(Methode_Keuze,Tb_KostenOpties[#Headers],0),2)),"")</f>
        <v/>
      </c>
      <c r="E80" s="117">
        <f>IFERROR(VLOOKUP(B80,Tb_ProjectKosten[[#All],[KostenOmschrijving]:[Forfat_Percentage]],6,0),0)</f>
        <v>0</v>
      </c>
      <c r="F80" s="115">
        <f>SUMIFS('5. Kosten uitvoering project'!P:P,'5. Kosten uitvoering project'!E:E,SubsidieTabel!A80,'5. Kosten uitvoering project'!F:F,SubsidieTabel!B80)</f>
        <v>0</v>
      </c>
      <c r="G80" s="115">
        <f>SUMIFS('5. Kosten uitvoering project'!Q:Q,'5. Kosten uitvoering project'!E:E,SubsidieTabel!A80,'5. Kosten uitvoering project'!F:F,SubsidieTabel!B80)</f>
        <v>0</v>
      </c>
      <c r="H80" s="115">
        <f>SUMIFS('5. Kosten uitvoering project'!R:R,'5. Kosten uitvoering project'!E:E,SubsidieTabel!A80,'5. Kosten uitvoering project'!F:F,SubsidieTabel!B80)</f>
        <v>0</v>
      </c>
      <c r="I80" s="115">
        <f>SUMIFS('5. Kosten uitvoering project'!S:S,'5. Kosten uitvoering project'!E:E,SubsidieTabel!A80,'5. Kosten uitvoering project'!F:F,SubsidieTabel!B80)</f>
        <v>0</v>
      </c>
      <c r="J80" s="115">
        <f t="shared" si="6"/>
        <v>0</v>
      </c>
      <c r="K80" s="115">
        <f t="shared" si="7"/>
        <v>0</v>
      </c>
      <c r="L80" s="117" t="str">
        <f>IFERROR(VLOOKUP(A80,Lijsten!$AD:$AE,2,0),"")</f>
        <v/>
      </c>
      <c r="M80" s="115">
        <f t="shared" si="8"/>
        <v>0</v>
      </c>
      <c r="N80" s="115">
        <f t="shared" si="9"/>
        <v>0</v>
      </c>
    </row>
    <row r="81" spans="1:14" x14ac:dyDescent="0.25">
      <c r="A81" s="18"/>
      <c r="B81" s="18"/>
      <c r="C81" s="18" t="str">
        <f>IFERROR(VLOOKUP($B81,Tb_ProjectKosten[],4,0),"")</f>
        <v/>
      </c>
      <c r="D81" s="106" t="str" cm="1">
        <f t="array" ref="D81">IFERROR(INDEX(Tb_KostenOpties[],MATCH(B81,Tb_KostenOpties[KostenOptie],0),IFERROR(MATCH(Methode_Keuze,Tb_KostenOpties[#Headers],0),2)),"")</f>
        <v/>
      </c>
      <c r="E81" s="118">
        <f>IFERROR(VLOOKUP(B81,Tb_ProjectKosten[[#All],[KostenOmschrijving]:[Forfat_Percentage]],6,0),0)</f>
        <v>0</v>
      </c>
      <c r="F81" s="116">
        <f>SUMIFS('5. Kosten uitvoering project'!P:P,'5. Kosten uitvoering project'!E:E,SubsidieTabel!A81,'5. Kosten uitvoering project'!F:F,SubsidieTabel!B81)</f>
        <v>0</v>
      </c>
      <c r="G81" s="116">
        <f>SUMIFS('5. Kosten uitvoering project'!Q:Q,'5. Kosten uitvoering project'!E:E,SubsidieTabel!A81,'5. Kosten uitvoering project'!F:F,SubsidieTabel!B81)</f>
        <v>0</v>
      </c>
      <c r="H81" s="116">
        <f>SUMIFS('5. Kosten uitvoering project'!R:R,'5. Kosten uitvoering project'!E:E,SubsidieTabel!A81,'5. Kosten uitvoering project'!F:F,SubsidieTabel!B81)</f>
        <v>0</v>
      </c>
      <c r="I81" s="116">
        <f>SUMIFS('5. Kosten uitvoering project'!S:S,'5. Kosten uitvoering project'!E:E,SubsidieTabel!A81,'5. Kosten uitvoering project'!F:F,SubsidieTabel!B81)</f>
        <v>0</v>
      </c>
      <c r="J81" s="116">
        <f t="shared" si="6"/>
        <v>0</v>
      </c>
      <c r="K81" s="116">
        <f t="shared" si="7"/>
        <v>0</v>
      </c>
      <c r="L81" s="118" t="str">
        <f>IFERROR(VLOOKUP(A81,Lijsten!$AD:$AE,2,0),"")</f>
        <v/>
      </c>
      <c r="M81" s="116">
        <f t="shared" si="8"/>
        <v>0</v>
      </c>
      <c r="N81" s="116">
        <f t="shared" si="9"/>
        <v>0</v>
      </c>
    </row>
    <row r="82" spans="1:14" x14ac:dyDescent="0.25">
      <c r="A82" s="78"/>
      <c r="B82" s="78"/>
      <c r="C82" s="78" t="str">
        <f>IFERROR(VLOOKUP($B82,Tb_ProjectKosten[],4,0),"")</f>
        <v/>
      </c>
      <c r="D82" s="105" t="str" cm="1">
        <f t="array" ref="D82">IFERROR(INDEX(Tb_KostenOpties[],MATCH(B82,Tb_KostenOpties[KostenOptie],0),IFERROR(MATCH(Methode_Keuze,Tb_KostenOpties[#Headers],0),2)),"")</f>
        <v/>
      </c>
      <c r="E82" s="117">
        <f>IFERROR(VLOOKUP(B82,Tb_ProjectKosten[[#All],[KostenOmschrijving]:[Forfat_Percentage]],6,0),0)</f>
        <v>0</v>
      </c>
      <c r="F82" s="115">
        <f>SUMIFS('5. Kosten uitvoering project'!P:P,'5. Kosten uitvoering project'!E:E,SubsidieTabel!A82,'5. Kosten uitvoering project'!F:F,SubsidieTabel!B82)</f>
        <v>0</v>
      </c>
      <c r="G82" s="115">
        <f>SUMIFS('5. Kosten uitvoering project'!Q:Q,'5. Kosten uitvoering project'!E:E,SubsidieTabel!A82,'5. Kosten uitvoering project'!F:F,SubsidieTabel!B82)</f>
        <v>0</v>
      </c>
      <c r="H82" s="115">
        <f>SUMIFS('5. Kosten uitvoering project'!R:R,'5. Kosten uitvoering project'!E:E,SubsidieTabel!A82,'5. Kosten uitvoering project'!F:F,SubsidieTabel!B82)</f>
        <v>0</v>
      </c>
      <c r="I82" s="115">
        <f>SUMIFS('5. Kosten uitvoering project'!S:S,'5. Kosten uitvoering project'!E:E,SubsidieTabel!A82,'5. Kosten uitvoering project'!F:F,SubsidieTabel!B82)</f>
        <v>0</v>
      </c>
      <c r="J82" s="115">
        <f t="shared" si="6"/>
        <v>0</v>
      </c>
      <c r="K82" s="115">
        <f t="shared" si="7"/>
        <v>0</v>
      </c>
      <c r="L82" s="117" t="str">
        <f>IFERROR(VLOOKUP(A82,Lijsten!$AD:$AE,2,0),"")</f>
        <v/>
      </c>
      <c r="M82" s="115">
        <f t="shared" si="8"/>
        <v>0</v>
      </c>
      <c r="N82" s="115">
        <f t="shared" si="9"/>
        <v>0</v>
      </c>
    </row>
    <row r="83" spans="1:14" x14ac:dyDescent="0.25">
      <c r="A83" s="18"/>
      <c r="B83" s="18"/>
      <c r="C83" s="18" t="str">
        <f>IFERROR(VLOOKUP($B83,Tb_ProjectKosten[],4,0),"")</f>
        <v/>
      </c>
      <c r="D83" s="106" t="str" cm="1">
        <f t="array" ref="D83">IFERROR(INDEX(Tb_KostenOpties[],MATCH(B83,Tb_KostenOpties[KostenOptie],0),IFERROR(MATCH(Methode_Keuze,Tb_KostenOpties[#Headers],0),2)),"")</f>
        <v/>
      </c>
      <c r="E83" s="118">
        <f>IFERROR(VLOOKUP(B83,Tb_ProjectKosten[[#All],[KostenOmschrijving]:[Forfat_Percentage]],6,0),0)</f>
        <v>0</v>
      </c>
      <c r="F83" s="116">
        <f>SUMIFS('5. Kosten uitvoering project'!P:P,'5. Kosten uitvoering project'!E:E,SubsidieTabel!A83,'5. Kosten uitvoering project'!F:F,SubsidieTabel!B83)</f>
        <v>0</v>
      </c>
      <c r="G83" s="116">
        <f>SUMIFS('5. Kosten uitvoering project'!Q:Q,'5. Kosten uitvoering project'!E:E,SubsidieTabel!A83,'5. Kosten uitvoering project'!F:F,SubsidieTabel!B83)</f>
        <v>0</v>
      </c>
      <c r="H83" s="116">
        <f>SUMIFS('5. Kosten uitvoering project'!R:R,'5. Kosten uitvoering project'!E:E,SubsidieTabel!A83,'5. Kosten uitvoering project'!F:F,SubsidieTabel!B83)</f>
        <v>0</v>
      </c>
      <c r="I83" s="116">
        <f>SUMIFS('5. Kosten uitvoering project'!S:S,'5. Kosten uitvoering project'!E:E,SubsidieTabel!A83,'5. Kosten uitvoering project'!F:F,SubsidieTabel!B83)</f>
        <v>0</v>
      </c>
      <c r="J83" s="116">
        <f t="shared" si="6"/>
        <v>0</v>
      </c>
      <c r="K83" s="116">
        <f t="shared" si="7"/>
        <v>0</v>
      </c>
      <c r="L83" s="118" t="str">
        <f>IFERROR(VLOOKUP(A83,Lijsten!$AD:$AE,2,0),"")</f>
        <v/>
      </c>
      <c r="M83" s="116">
        <f t="shared" si="8"/>
        <v>0</v>
      </c>
      <c r="N83" s="116">
        <f t="shared" si="9"/>
        <v>0</v>
      </c>
    </row>
    <row r="84" spans="1:14" x14ac:dyDescent="0.25">
      <c r="A84" s="78"/>
      <c r="B84" s="78"/>
      <c r="C84" s="78" t="str">
        <f>IFERROR(VLOOKUP($B84,Tb_ProjectKosten[],4,0),"")</f>
        <v/>
      </c>
      <c r="D84" s="105" t="str" cm="1">
        <f t="array" ref="D84">IFERROR(INDEX(Tb_KostenOpties[],MATCH(B84,Tb_KostenOpties[KostenOptie],0),IFERROR(MATCH(Methode_Keuze,Tb_KostenOpties[#Headers],0),2)),"")</f>
        <v/>
      </c>
      <c r="E84" s="117">
        <f>IFERROR(VLOOKUP(B84,Tb_ProjectKosten[[#All],[KostenOmschrijving]:[Forfat_Percentage]],6,0),0)</f>
        <v>0</v>
      </c>
      <c r="F84" s="115">
        <f>SUMIFS('5. Kosten uitvoering project'!P:P,'5. Kosten uitvoering project'!E:E,SubsidieTabel!A84,'5. Kosten uitvoering project'!F:F,SubsidieTabel!B84)</f>
        <v>0</v>
      </c>
      <c r="G84" s="115">
        <f>SUMIFS('5. Kosten uitvoering project'!Q:Q,'5. Kosten uitvoering project'!E:E,SubsidieTabel!A84,'5. Kosten uitvoering project'!F:F,SubsidieTabel!B84)</f>
        <v>0</v>
      </c>
      <c r="H84" s="115">
        <f>SUMIFS('5. Kosten uitvoering project'!R:R,'5. Kosten uitvoering project'!E:E,SubsidieTabel!A84,'5. Kosten uitvoering project'!F:F,SubsidieTabel!B84)</f>
        <v>0</v>
      </c>
      <c r="I84" s="115">
        <f>SUMIFS('5. Kosten uitvoering project'!S:S,'5. Kosten uitvoering project'!E:E,SubsidieTabel!A84,'5. Kosten uitvoering project'!F:F,SubsidieTabel!B84)</f>
        <v>0</v>
      </c>
      <c r="J84" s="115">
        <f t="shared" si="6"/>
        <v>0</v>
      </c>
      <c r="K84" s="115">
        <f t="shared" si="7"/>
        <v>0</v>
      </c>
      <c r="L84" s="117" t="str">
        <f>IFERROR(VLOOKUP(A84,Lijsten!$AD:$AE,2,0),"")</f>
        <v/>
      </c>
      <c r="M84" s="115">
        <f t="shared" si="8"/>
        <v>0</v>
      </c>
      <c r="N84" s="115">
        <f t="shared" si="9"/>
        <v>0</v>
      </c>
    </row>
    <row r="85" spans="1:14" x14ac:dyDescent="0.25">
      <c r="A85" s="18"/>
      <c r="B85" s="18"/>
      <c r="C85" s="18" t="str">
        <f>IFERROR(VLOOKUP($B85,Tb_ProjectKosten[],4,0),"")</f>
        <v/>
      </c>
      <c r="D85" s="106" t="str" cm="1">
        <f t="array" ref="D85">IFERROR(INDEX(Tb_KostenOpties[],MATCH(B85,Tb_KostenOpties[KostenOptie],0),IFERROR(MATCH(Methode_Keuze,Tb_KostenOpties[#Headers],0),2)),"")</f>
        <v/>
      </c>
      <c r="E85" s="118">
        <f>IFERROR(VLOOKUP(B85,Tb_ProjectKosten[[#All],[KostenOmschrijving]:[Forfat_Percentage]],6,0),0)</f>
        <v>0</v>
      </c>
      <c r="F85" s="116">
        <f>SUMIFS('5. Kosten uitvoering project'!P:P,'5. Kosten uitvoering project'!E:E,SubsidieTabel!A85,'5. Kosten uitvoering project'!F:F,SubsidieTabel!B85)</f>
        <v>0</v>
      </c>
      <c r="G85" s="116">
        <f>SUMIFS('5. Kosten uitvoering project'!Q:Q,'5. Kosten uitvoering project'!E:E,SubsidieTabel!A85,'5. Kosten uitvoering project'!F:F,SubsidieTabel!B85)</f>
        <v>0</v>
      </c>
      <c r="H85" s="116">
        <f>SUMIFS('5. Kosten uitvoering project'!R:R,'5. Kosten uitvoering project'!E:E,SubsidieTabel!A85,'5. Kosten uitvoering project'!F:F,SubsidieTabel!B85)</f>
        <v>0</v>
      </c>
      <c r="I85" s="116">
        <f>SUMIFS('5. Kosten uitvoering project'!S:S,'5. Kosten uitvoering project'!E:E,SubsidieTabel!A85,'5. Kosten uitvoering project'!F:F,SubsidieTabel!B85)</f>
        <v>0</v>
      </c>
      <c r="J85" s="116">
        <f t="shared" si="6"/>
        <v>0</v>
      </c>
      <c r="K85" s="116">
        <f t="shared" si="7"/>
        <v>0</v>
      </c>
      <c r="L85" s="118" t="str">
        <f>IFERROR(VLOOKUP(A85,Lijsten!$AD:$AE,2,0),"")</f>
        <v/>
      </c>
      <c r="M85" s="116">
        <f t="shared" si="8"/>
        <v>0</v>
      </c>
      <c r="N85" s="116">
        <f t="shared" si="9"/>
        <v>0</v>
      </c>
    </row>
    <row r="86" spans="1:14" x14ac:dyDescent="0.25">
      <c r="A86" s="78"/>
      <c r="B86" s="78"/>
      <c r="C86" s="78" t="str">
        <f>IFERROR(VLOOKUP($B86,Tb_ProjectKosten[],4,0),"")</f>
        <v/>
      </c>
      <c r="D86" s="105" t="str" cm="1">
        <f t="array" ref="D86">IFERROR(INDEX(Tb_KostenOpties[],MATCH(B86,Tb_KostenOpties[KostenOptie],0),IFERROR(MATCH(Methode_Keuze,Tb_KostenOpties[#Headers],0),2)),"")</f>
        <v/>
      </c>
      <c r="E86" s="117">
        <f>IFERROR(VLOOKUP(B86,Tb_ProjectKosten[[#All],[KostenOmschrijving]:[Forfat_Percentage]],6,0),0)</f>
        <v>0</v>
      </c>
      <c r="F86" s="115">
        <f>SUMIFS('5. Kosten uitvoering project'!P:P,'5. Kosten uitvoering project'!E:E,SubsidieTabel!A86,'5. Kosten uitvoering project'!F:F,SubsidieTabel!B86)</f>
        <v>0</v>
      </c>
      <c r="G86" s="115">
        <f>SUMIFS('5. Kosten uitvoering project'!Q:Q,'5. Kosten uitvoering project'!E:E,SubsidieTabel!A86,'5. Kosten uitvoering project'!F:F,SubsidieTabel!B86)</f>
        <v>0</v>
      </c>
      <c r="H86" s="115">
        <f>SUMIFS('5. Kosten uitvoering project'!R:R,'5. Kosten uitvoering project'!E:E,SubsidieTabel!A86,'5. Kosten uitvoering project'!F:F,SubsidieTabel!B86)</f>
        <v>0</v>
      </c>
      <c r="I86" s="115">
        <f>SUMIFS('5. Kosten uitvoering project'!S:S,'5. Kosten uitvoering project'!E:E,SubsidieTabel!A86,'5. Kosten uitvoering project'!F:F,SubsidieTabel!B86)</f>
        <v>0</v>
      </c>
      <c r="J86" s="115">
        <f t="shared" si="6"/>
        <v>0</v>
      </c>
      <c r="K86" s="115">
        <f t="shared" si="7"/>
        <v>0</v>
      </c>
      <c r="L86" s="117" t="str">
        <f>IFERROR(VLOOKUP(A86,Lijsten!$AD:$AE,2,0),"")</f>
        <v/>
      </c>
      <c r="M86" s="115">
        <f t="shared" si="8"/>
        <v>0</v>
      </c>
      <c r="N86" s="115">
        <f t="shared" si="9"/>
        <v>0</v>
      </c>
    </row>
    <row r="87" spans="1:14" x14ac:dyDescent="0.25">
      <c r="A87" s="18"/>
      <c r="B87" s="18"/>
      <c r="C87" s="18" t="str">
        <f>IFERROR(VLOOKUP($B87,Tb_ProjectKosten[],4,0),"")</f>
        <v/>
      </c>
      <c r="D87" s="106" t="str" cm="1">
        <f t="array" ref="D87">IFERROR(INDEX(Tb_KostenOpties[],MATCH(B87,Tb_KostenOpties[KostenOptie],0),IFERROR(MATCH(Methode_Keuze,Tb_KostenOpties[#Headers],0),2)),"")</f>
        <v/>
      </c>
      <c r="E87" s="118">
        <f>IFERROR(VLOOKUP(B87,Tb_ProjectKosten[[#All],[KostenOmschrijving]:[Forfat_Percentage]],6,0),0)</f>
        <v>0</v>
      </c>
      <c r="F87" s="116">
        <f>SUMIFS('5. Kosten uitvoering project'!P:P,'5. Kosten uitvoering project'!E:E,SubsidieTabel!A87,'5. Kosten uitvoering project'!F:F,SubsidieTabel!B87)</f>
        <v>0</v>
      </c>
      <c r="G87" s="116">
        <f>SUMIFS('5. Kosten uitvoering project'!Q:Q,'5. Kosten uitvoering project'!E:E,SubsidieTabel!A87,'5. Kosten uitvoering project'!F:F,SubsidieTabel!B87)</f>
        <v>0</v>
      </c>
      <c r="H87" s="116">
        <f>SUMIFS('5. Kosten uitvoering project'!R:R,'5. Kosten uitvoering project'!E:E,SubsidieTabel!A87,'5. Kosten uitvoering project'!F:F,SubsidieTabel!B87)</f>
        <v>0</v>
      </c>
      <c r="I87" s="116">
        <f>SUMIFS('5. Kosten uitvoering project'!S:S,'5. Kosten uitvoering project'!E:E,SubsidieTabel!A87,'5. Kosten uitvoering project'!F:F,SubsidieTabel!B87)</f>
        <v>0</v>
      </c>
      <c r="J87" s="116">
        <f t="shared" si="6"/>
        <v>0</v>
      </c>
      <c r="K87" s="116">
        <f t="shared" si="7"/>
        <v>0</v>
      </c>
      <c r="L87" s="118" t="str">
        <f>IFERROR(VLOOKUP(A87,Lijsten!$AD:$AE,2,0),"")</f>
        <v/>
      </c>
      <c r="M87" s="116">
        <f t="shared" si="8"/>
        <v>0</v>
      </c>
      <c r="N87" s="116">
        <f t="shared" si="9"/>
        <v>0</v>
      </c>
    </row>
    <row r="88" spans="1:14" x14ac:dyDescent="0.25">
      <c r="A88" s="78"/>
      <c r="B88" s="78"/>
      <c r="C88" s="78" t="str">
        <f>IFERROR(VLOOKUP($B88,Tb_ProjectKosten[],4,0),"")</f>
        <v/>
      </c>
      <c r="D88" s="105" t="str" cm="1">
        <f t="array" ref="D88">IFERROR(INDEX(Tb_KostenOpties[],MATCH(B88,Tb_KostenOpties[KostenOptie],0),IFERROR(MATCH(Methode_Keuze,Tb_KostenOpties[#Headers],0),2)),"")</f>
        <v/>
      </c>
      <c r="E88" s="117">
        <f>IFERROR(VLOOKUP(B88,Tb_ProjectKosten[[#All],[KostenOmschrijving]:[Forfat_Percentage]],6,0),0)</f>
        <v>0</v>
      </c>
      <c r="F88" s="115">
        <f>SUMIFS('5. Kosten uitvoering project'!P:P,'5. Kosten uitvoering project'!E:E,SubsidieTabel!A88,'5. Kosten uitvoering project'!F:F,SubsidieTabel!B88)</f>
        <v>0</v>
      </c>
      <c r="G88" s="115">
        <f>SUMIFS('5. Kosten uitvoering project'!Q:Q,'5. Kosten uitvoering project'!E:E,SubsidieTabel!A88,'5. Kosten uitvoering project'!F:F,SubsidieTabel!B88)</f>
        <v>0</v>
      </c>
      <c r="H88" s="115">
        <f>SUMIFS('5. Kosten uitvoering project'!R:R,'5. Kosten uitvoering project'!E:E,SubsidieTabel!A88,'5. Kosten uitvoering project'!F:F,SubsidieTabel!B88)</f>
        <v>0</v>
      </c>
      <c r="I88" s="115">
        <f>SUMIFS('5. Kosten uitvoering project'!S:S,'5. Kosten uitvoering project'!E:E,SubsidieTabel!A88,'5. Kosten uitvoering project'!F:F,SubsidieTabel!B88)</f>
        <v>0</v>
      </c>
      <c r="J88" s="115">
        <f t="shared" si="6"/>
        <v>0</v>
      </c>
      <c r="K88" s="115">
        <f t="shared" si="7"/>
        <v>0</v>
      </c>
      <c r="L88" s="117" t="str">
        <f>IFERROR(VLOOKUP(A88,Lijsten!$AD:$AE,2,0),"")</f>
        <v/>
      </c>
      <c r="M88" s="115">
        <f t="shared" si="8"/>
        <v>0</v>
      </c>
      <c r="N88" s="115">
        <f t="shared" si="9"/>
        <v>0</v>
      </c>
    </row>
    <row r="89" spans="1:14" x14ac:dyDescent="0.25">
      <c r="A89" s="18"/>
      <c r="B89" s="18"/>
      <c r="C89" s="18" t="str">
        <f>IFERROR(VLOOKUP($B89,Tb_ProjectKosten[],4,0),"")</f>
        <v/>
      </c>
      <c r="D89" s="106" t="str" cm="1">
        <f t="array" ref="D89">IFERROR(INDEX(Tb_KostenOpties[],MATCH(B89,Tb_KostenOpties[KostenOptie],0),IFERROR(MATCH(Methode_Keuze,Tb_KostenOpties[#Headers],0),2)),"")</f>
        <v/>
      </c>
      <c r="E89" s="118">
        <f>IFERROR(VLOOKUP(B89,Tb_ProjectKosten[[#All],[KostenOmschrijving]:[Forfat_Percentage]],6,0),0)</f>
        <v>0</v>
      </c>
      <c r="F89" s="116">
        <f>SUMIFS('5. Kosten uitvoering project'!P:P,'5. Kosten uitvoering project'!E:E,SubsidieTabel!A89,'5. Kosten uitvoering project'!F:F,SubsidieTabel!B89)</f>
        <v>0</v>
      </c>
      <c r="G89" s="116">
        <f>SUMIFS('5. Kosten uitvoering project'!Q:Q,'5. Kosten uitvoering project'!E:E,SubsidieTabel!A89,'5. Kosten uitvoering project'!F:F,SubsidieTabel!B89)</f>
        <v>0</v>
      </c>
      <c r="H89" s="116">
        <f>SUMIFS('5. Kosten uitvoering project'!R:R,'5. Kosten uitvoering project'!E:E,SubsidieTabel!A89,'5. Kosten uitvoering project'!F:F,SubsidieTabel!B89)</f>
        <v>0</v>
      </c>
      <c r="I89" s="116">
        <f>SUMIFS('5. Kosten uitvoering project'!S:S,'5. Kosten uitvoering project'!E:E,SubsidieTabel!A89,'5. Kosten uitvoering project'!F:F,SubsidieTabel!B89)</f>
        <v>0</v>
      </c>
      <c r="J89" s="116">
        <f t="shared" si="6"/>
        <v>0</v>
      </c>
      <c r="K89" s="116">
        <f t="shared" si="7"/>
        <v>0</v>
      </c>
      <c r="L89" s="118" t="str">
        <f>IFERROR(VLOOKUP(A89,Lijsten!$AD:$AE,2,0),"")</f>
        <v/>
      </c>
      <c r="M89" s="116">
        <f t="shared" si="8"/>
        <v>0</v>
      </c>
      <c r="N89" s="116">
        <f t="shared" si="9"/>
        <v>0</v>
      </c>
    </row>
    <row r="90" spans="1:14" x14ac:dyDescent="0.25">
      <c r="A90" s="78"/>
      <c r="B90" s="78"/>
      <c r="C90" s="78" t="str">
        <f>IFERROR(VLOOKUP($B90,Tb_ProjectKosten[],4,0),"")</f>
        <v/>
      </c>
      <c r="D90" s="105" t="str" cm="1">
        <f t="array" ref="D90">IFERROR(INDEX(Tb_KostenOpties[],MATCH(B90,Tb_KostenOpties[KostenOptie],0),IFERROR(MATCH(Methode_Keuze,Tb_KostenOpties[#Headers],0),2)),"")</f>
        <v/>
      </c>
      <c r="E90" s="117">
        <f>IFERROR(VLOOKUP(B90,Tb_ProjectKosten[[#All],[KostenOmschrijving]:[Forfat_Percentage]],6,0),0)</f>
        <v>0</v>
      </c>
      <c r="F90" s="115">
        <f>SUMIFS('5. Kosten uitvoering project'!P:P,'5. Kosten uitvoering project'!E:E,SubsidieTabel!A90,'5. Kosten uitvoering project'!F:F,SubsidieTabel!B90)</f>
        <v>0</v>
      </c>
      <c r="G90" s="115">
        <f>SUMIFS('5. Kosten uitvoering project'!Q:Q,'5. Kosten uitvoering project'!E:E,SubsidieTabel!A90,'5. Kosten uitvoering project'!F:F,SubsidieTabel!B90)</f>
        <v>0</v>
      </c>
      <c r="H90" s="115">
        <f>SUMIFS('5. Kosten uitvoering project'!R:R,'5. Kosten uitvoering project'!E:E,SubsidieTabel!A90,'5. Kosten uitvoering project'!F:F,SubsidieTabel!B90)</f>
        <v>0</v>
      </c>
      <c r="I90" s="115">
        <f>SUMIFS('5. Kosten uitvoering project'!S:S,'5. Kosten uitvoering project'!E:E,SubsidieTabel!A90,'5. Kosten uitvoering project'!F:F,SubsidieTabel!B90)</f>
        <v>0</v>
      </c>
      <c r="J90" s="115">
        <f t="shared" si="6"/>
        <v>0</v>
      </c>
      <c r="K90" s="115">
        <f t="shared" si="7"/>
        <v>0</v>
      </c>
      <c r="L90" s="117" t="str">
        <f>IFERROR(VLOOKUP(A90,Lijsten!$AD:$AE,2,0),"")</f>
        <v/>
      </c>
      <c r="M90" s="115">
        <f t="shared" si="8"/>
        <v>0</v>
      </c>
      <c r="N90" s="115">
        <f t="shared" si="9"/>
        <v>0</v>
      </c>
    </row>
    <row r="91" spans="1:14" x14ac:dyDescent="0.25">
      <c r="A91" s="18"/>
      <c r="B91" s="18"/>
      <c r="C91" s="18" t="str">
        <f>IFERROR(VLOOKUP($B91,Tb_ProjectKosten[],4,0),"")</f>
        <v/>
      </c>
      <c r="D91" s="106" t="str" cm="1">
        <f t="array" ref="D91">IFERROR(INDEX(Tb_KostenOpties[],MATCH(B91,Tb_KostenOpties[KostenOptie],0),IFERROR(MATCH(Methode_Keuze,Tb_KostenOpties[#Headers],0),2)),"")</f>
        <v/>
      </c>
      <c r="E91" s="118">
        <f>IFERROR(VLOOKUP(B91,Tb_ProjectKosten[[#All],[KostenOmschrijving]:[Forfat_Percentage]],6,0),0)</f>
        <v>0</v>
      </c>
      <c r="F91" s="116">
        <f>SUMIFS('5. Kosten uitvoering project'!P:P,'5. Kosten uitvoering project'!E:E,SubsidieTabel!A91,'5. Kosten uitvoering project'!F:F,SubsidieTabel!B91)</f>
        <v>0</v>
      </c>
      <c r="G91" s="116">
        <f>SUMIFS('5. Kosten uitvoering project'!Q:Q,'5. Kosten uitvoering project'!E:E,SubsidieTabel!A91,'5. Kosten uitvoering project'!F:F,SubsidieTabel!B91)</f>
        <v>0</v>
      </c>
      <c r="H91" s="116">
        <f>SUMIFS('5. Kosten uitvoering project'!R:R,'5. Kosten uitvoering project'!E:E,SubsidieTabel!A91,'5. Kosten uitvoering project'!F:F,SubsidieTabel!B91)</f>
        <v>0</v>
      </c>
      <c r="I91" s="116">
        <f>SUMIFS('5. Kosten uitvoering project'!S:S,'5. Kosten uitvoering project'!E:E,SubsidieTabel!A91,'5. Kosten uitvoering project'!F:F,SubsidieTabel!B91)</f>
        <v>0</v>
      </c>
      <c r="J91" s="116">
        <f t="shared" si="6"/>
        <v>0</v>
      </c>
      <c r="K91" s="116">
        <f t="shared" si="7"/>
        <v>0</v>
      </c>
      <c r="L91" s="118" t="str">
        <f>IFERROR(VLOOKUP(A91,Lijsten!$AD:$AE,2,0),"")</f>
        <v/>
      </c>
      <c r="M91" s="116">
        <f t="shared" si="8"/>
        <v>0</v>
      </c>
      <c r="N91" s="116">
        <f t="shared" si="9"/>
        <v>0</v>
      </c>
    </row>
    <row r="92" spans="1:14" x14ac:dyDescent="0.25">
      <c r="A92" s="78"/>
      <c r="B92" s="78"/>
      <c r="C92" s="78" t="str">
        <f>IFERROR(VLOOKUP($B92,Tb_ProjectKosten[],4,0),"")</f>
        <v/>
      </c>
      <c r="D92" s="105" t="str" cm="1">
        <f t="array" ref="D92">IFERROR(INDEX(Tb_KostenOpties[],MATCH(B92,Tb_KostenOpties[KostenOptie],0),IFERROR(MATCH(Methode_Keuze,Tb_KostenOpties[#Headers],0),2)),"")</f>
        <v/>
      </c>
      <c r="E92" s="117">
        <f>IFERROR(VLOOKUP(B92,Tb_ProjectKosten[[#All],[KostenOmschrijving]:[Forfat_Percentage]],6,0),0)</f>
        <v>0</v>
      </c>
      <c r="F92" s="115">
        <f>SUMIFS('5. Kosten uitvoering project'!P:P,'5. Kosten uitvoering project'!E:E,SubsidieTabel!A92,'5. Kosten uitvoering project'!F:F,SubsidieTabel!B92)</f>
        <v>0</v>
      </c>
      <c r="G92" s="115">
        <f>SUMIFS('5. Kosten uitvoering project'!Q:Q,'5. Kosten uitvoering project'!E:E,SubsidieTabel!A92,'5. Kosten uitvoering project'!F:F,SubsidieTabel!B92)</f>
        <v>0</v>
      </c>
      <c r="H92" s="115">
        <f>SUMIFS('5. Kosten uitvoering project'!R:R,'5. Kosten uitvoering project'!E:E,SubsidieTabel!A92,'5. Kosten uitvoering project'!F:F,SubsidieTabel!B92)</f>
        <v>0</v>
      </c>
      <c r="I92" s="115">
        <f>SUMIFS('5. Kosten uitvoering project'!S:S,'5. Kosten uitvoering project'!E:E,SubsidieTabel!A92,'5. Kosten uitvoering project'!F:F,SubsidieTabel!B92)</f>
        <v>0</v>
      </c>
      <c r="J92" s="115">
        <f t="shared" si="6"/>
        <v>0</v>
      </c>
      <c r="K92" s="115">
        <f t="shared" si="7"/>
        <v>0</v>
      </c>
      <c r="L92" s="117" t="str">
        <f>IFERROR(VLOOKUP(A92,Lijsten!$AD:$AE,2,0),"")</f>
        <v/>
      </c>
      <c r="M92" s="115">
        <f t="shared" si="8"/>
        <v>0</v>
      </c>
      <c r="N92" s="115">
        <f t="shared" si="9"/>
        <v>0</v>
      </c>
    </row>
    <row r="93" spans="1:14" x14ac:dyDescent="0.25">
      <c r="A93" s="18"/>
      <c r="B93" s="18"/>
      <c r="C93" s="18" t="str">
        <f>IFERROR(VLOOKUP($B93,Tb_ProjectKosten[],4,0),"")</f>
        <v/>
      </c>
      <c r="D93" s="106" t="str" cm="1">
        <f t="array" ref="D93">IFERROR(INDEX(Tb_KostenOpties[],MATCH(B93,Tb_KostenOpties[KostenOptie],0),IFERROR(MATCH(Methode_Keuze,Tb_KostenOpties[#Headers],0),2)),"")</f>
        <v/>
      </c>
      <c r="E93" s="118">
        <f>IFERROR(VLOOKUP(B93,Tb_ProjectKosten[[#All],[KostenOmschrijving]:[Forfat_Percentage]],6,0),0)</f>
        <v>0</v>
      </c>
      <c r="F93" s="116">
        <f>SUMIFS('5. Kosten uitvoering project'!P:P,'5. Kosten uitvoering project'!E:E,SubsidieTabel!A93,'5. Kosten uitvoering project'!F:F,SubsidieTabel!B93)</f>
        <v>0</v>
      </c>
      <c r="G93" s="116">
        <f>SUMIFS('5. Kosten uitvoering project'!Q:Q,'5. Kosten uitvoering project'!E:E,SubsidieTabel!A93,'5. Kosten uitvoering project'!F:F,SubsidieTabel!B93)</f>
        <v>0</v>
      </c>
      <c r="H93" s="116">
        <f>SUMIFS('5. Kosten uitvoering project'!R:R,'5. Kosten uitvoering project'!E:E,SubsidieTabel!A93,'5. Kosten uitvoering project'!F:F,SubsidieTabel!B93)</f>
        <v>0</v>
      </c>
      <c r="I93" s="116">
        <f>SUMIFS('5. Kosten uitvoering project'!S:S,'5. Kosten uitvoering project'!E:E,SubsidieTabel!A93,'5. Kosten uitvoering project'!F:F,SubsidieTabel!B93)</f>
        <v>0</v>
      </c>
      <c r="J93" s="116">
        <f t="shared" si="6"/>
        <v>0</v>
      </c>
      <c r="K93" s="116">
        <f t="shared" si="7"/>
        <v>0</v>
      </c>
      <c r="L93" s="118" t="str">
        <f>IFERROR(VLOOKUP(A93,Lijsten!$AD:$AE,2,0),"")</f>
        <v/>
      </c>
      <c r="M93" s="116">
        <f t="shared" si="8"/>
        <v>0</v>
      </c>
      <c r="N93" s="116">
        <f t="shared" si="9"/>
        <v>0</v>
      </c>
    </row>
    <row r="94" spans="1:14" x14ac:dyDescent="0.25">
      <c r="A94" s="78"/>
      <c r="B94" s="78"/>
      <c r="C94" s="78" t="str">
        <f>IFERROR(VLOOKUP($B94,Tb_ProjectKosten[],4,0),"")</f>
        <v/>
      </c>
      <c r="D94" s="105" t="str" cm="1">
        <f t="array" ref="D94">IFERROR(INDEX(Tb_KostenOpties[],MATCH(B94,Tb_KostenOpties[KostenOptie],0),IFERROR(MATCH(Methode_Keuze,Tb_KostenOpties[#Headers],0),2)),"")</f>
        <v/>
      </c>
      <c r="E94" s="117">
        <f>IFERROR(VLOOKUP(B94,Tb_ProjectKosten[[#All],[KostenOmschrijving]:[Forfat_Percentage]],6,0),0)</f>
        <v>0</v>
      </c>
      <c r="F94" s="115">
        <f>SUMIFS('5. Kosten uitvoering project'!P:P,'5. Kosten uitvoering project'!E:E,SubsidieTabel!A94,'5. Kosten uitvoering project'!F:F,SubsidieTabel!B94)</f>
        <v>0</v>
      </c>
      <c r="G94" s="115">
        <f>SUMIFS('5. Kosten uitvoering project'!Q:Q,'5. Kosten uitvoering project'!E:E,SubsidieTabel!A94,'5. Kosten uitvoering project'!F:F,SubsidieTabel!B94)</f>
        <v>0</v>
      </c>
      <c r="H94" s="115">
        <f>SUMIFS('5. Kosten uitvoering project'!R:R,'5. Kosten uitvoering project'!E:E,SubsidieTabel!A94,'5. Kosten uitvoering project'!F:F,SubsidieTabel!B94)</f>
        <v>0</v>
      </c>
      <c r="I94" s="115">
        <f>SUMIFS('5. Kosten uitvoering project'!S:S,'5. Kosten uitvoering project'!E:E,SubsidieTabel!A94,'5. Kosten uitvoering project'!F:F,SubsidieTabel!B94)</f>
        <v>0</v>
      </c>
      <c r="J94" s="115">
        <f t="shared" si="6"/>
        <v>0</v>
      </c>
      <c r="K94" s="115">
        <f t="shared" si="7"/>
        <v>0</v>
      </c>
      <c r="L94" s="117" t="str">
        <f>IFERROR(VLOOKUP(A94,Lijsten!$AD:$AE,2,0),"")</f>
        <v/>
      </c>
      <c r="M94" s="115">
        <f t="shared" si="8"/>
        <v>0</v>
      </c>
      <c r="N94" s="115">
        <f t="shared" si="9"/>
        <v>0</v>
      </c>
    </row>
    <row r="95" spans="1:14" x14ac:dyDescent="0.25">
      <c r="A95" s="18"/>
      <c r="B95" s="18"/>
      <c r="C95" s="18" t="str">
        <f>IFERROR(VLOOKUP($B95,Tb_ProjectKosten[],4,0),"")</f>
        <v/>
      </c>
      <c r="D95" s="106" t="str" cm="1">
        <f t="array" ref="D95">IFERROR(INDEX(Tb_KostenOpties[],MATCH(B95,Tb_KostenOpties[KostenOptie],0),IFERROR(MATCH(Methode_Keuze,Tb_KostenOpties[#Headers],0),2)),"")</f>
        <v/>
      </c>
      <c r="E95" s="118">
        <f>IFERROR(VLOOKUP(B95,Tb_ProjectKosten[[#All],[KostenOmschrijving]:[Forfat_Percentage]],6,0),0)</f>
        <v>0</v>
      </c>
      <c r="F95" s="116">
        <f>SUMIFS('5. Kosten uitvoering project'!P:P,'5. Kosten uitvoering project'!E:E,SubsidieTabel!A95,'5. Kosten uitvoering project'!F:F,SubsidieTabel!B95)</f>
        <v>0</v>
      </c>
      <c r="G95" s="116">
        <f>SUMIFS('5. Kosten uitvoering project'!Q:Q,'5. Kosten uitvoering project'!E:E,SubsidieTabel!A95,'5. Kosten uitvoering project'!F:F,SubsidieTabel!B95)</f>
        <v>0</v>
      </c>
      <c r="H95" s="116">
        <f>SUMIFS('5. Kosten uitvoering project'!R:R,'5. Kosten uitvoering project'!E:E,SubsidieTabel!A95,'5. Kosten uitvoering project'!F:F,SubsidieTabel!B95)</f>
        <v>0</v>
      </c>
      <c r="I95" s="116">
        <f>SUMIFS('5. Kosten uitvoering project'!S:S,'5. Kosten uitvoering project'!E:E,SubsidieTabel!A95,'5. Kosten uitvoering project'!F:F,SubsidieTabel!B95)</f>
        <v>0</v>
      </c>
      <c r="J95" s="116">
        <f t="shared" si="6"/>
        <v>0</v>
      </c>
      <c r="K95" s="116">
        <f t="shared" si="7"/>
        <v>0</v>
      </c>
      <c r="L95" s="118" t="str">
        <f>IFERROR(VLOOKUP(A95,Lijsten!$AD:$AE,2,0),"")</f>
        <v/>
      </c>
      <c r="M95" s="116">
        <f t="shared" si="8"/>
        <v>0</v>
      </c>
      <c r="N95" s="116">
        <f t="shared" si="9"/>
        <v>0</v>
      </c>
    </row>
    <row r="96" spans="1:14" x14ac:dyDescent="0.25">
      <c r="A96" s="78"/>
      <c r="B96" s="78"/>
      <c r="C96" s="78" t="str">
        <f>IFERROR(VLOOKUP($B96,Tb_ProjectKosten[],4,0),"")</f>
        <v/>
      </c>
      <c r="D96" s="105" t="str" cm="1">
        <f t="array" ref="D96">IFERROR(INDEX(Tb_KostenOpties[],MATCH(B96,Tb_KostenOpties[KostenOptie],0),IFERROR(MATCH(Methode_Keuze,Tb_KostenOpties[#Headers],0),2)),"")</f>
        <v/>
      </c>
      <c r="E96" s="117">
        <f>IFERROR(VLOOKUP(B96,Tb_ProjectKosten[[#All],[KostenOmschrijving]:[Forfat_Percentage]],6,0),0)</f>
        <v>0</v>
      </c>
      <c r="F96" s="115">
        <f>SUMIFS('5. Kosten uitvoering project'!P:P,'5. Kosten uitvoering project'!E:E,SubsidieTabel!A96,'5. Kosten uitvoering project'!F:F,SubsidieTabel!B96)</f>
        <v>0</v>
      </c>
      <c r="G96" s="115">
        <f>SUMIFS('5. Kosten uitvoering project'!Q:Q,'5. Kosten uitvoering project'!E:E,SubsidieTabel!A96,'5. Kosten uitvoering project'!F:F,SubsidieTabel!B96)</f>
        <v>0</v>
      </c>
      <c r="H96" s="115">
        <f>SUMIFS('5. Kosten uitvoering project'!R:R,'5. Kosten uitvoering project'!E:E,SubsidieTabel!A96,'5. Kosten uitvoering project'!F:F,SubsidieTabel!B96)</f>
        <v>0</v>
      </c>
      <c r="I96" s="115">
        <f>SUMIFS('5. Kosten uitvoering project'!S:S,'5. Kosten uitvoering project'!E:E,SubsidieTabel!A96,'5. Kosten uitvoering project'!F:F,SubsidieTabel!B96)</f>
        <v>0</v>
      </c>
      <c r="J96" s="115">
        <f t="shared" si="6"/>
        <v>0</v>
      </c>
      <c r="K96" s="115">
        <f t="shared" si="7"/>
        <v>0</v>
      </c>
      <c r="L96" s="117" t="str">
        <f>IFERROR(VLOOKUP(A96,Lijsten!$AD:$AE,2,0),"")</f>
        <v/>
      </c>
      <c r="M96" s="115">
        <f t="shared" si="8"/>
        <v>0</v>
      </c>
      <c r="N96" s="115">
        <f t="shared" si="9"/>
        <v>0</v>
      </c>
    </row>
    <row r="97" spans="1:14" x14ac:dyDescent="0.25">
      <c r="A97" s="18"/>
      <c r="B97" s="18"/>
      <c r="C97" s="18" t="str">
        <f>IFERROR(VLOOKUP($B97,Tb_ProjectKosten[],4,0),"")</f>
        <v/>
      </c>
      <c r="D97" s="106" t="str" cm="1">
        <f t="array" ref="D97">IFERROR(INDEX(Tb_KostenOpties[],MATCH(B97,Tb_KostenOpties[KostenOptie],0),IFERROR(MATCH(Methode_Keuze,Tb_KostenOpties[#Headers],0),2)),"")</f>
        <v/>
      </c>
      <c r="E97" s="118">
        <f>IFERROR(VLOOKUP(B97,Tb_ProjectKosten[[#All],[KostenOmschrijving]:[Forfat_Percentage]],6,0),0)</f>
        <v>0</v>
      </c>
      <c r="F97" s="116">
        <f>SUMIFS('5. Kosten uitvoering project'!P:P,'5. Kosten uitvoering project'!E:E,SubsidieTabel!A97,'5. Kosten uitvoering project'!F:F,SubsidieTabel!B97)</f>
        <v>0</v>
      </c>
      <c r="G97" s="116">
        <f>SUMIFS('5. Kosten uitvoering project'!Q:Q,'5. Kosten uitvoering project'!E:E,SubsidieTabel!A97,'5. Kosten uitvoering project'!F:F,SubsidieTabel!B97)</f>
        <v>0</v>
      </c>
      <c r="H97" s="116">
        <f>SUMIFS('5. Kosten uitvoering project'!R:R,'5. Kosten uitvoering project'!E:E,SubsidieTabel!A97,'5. Kosten uitvoering project'!F:F,SubsidieTabel!B97)</f>
        <v>0</v>
      </c>
      <c r="I97" s="116">
        <f>SUMIFS('5. Kosten uitvoering project'!S:S,'5. Kosten uitvoering project'!E:E,SubsidieTabel!A97,'5. Kosten uitvoering project'!F:F,SubsidieTabel!B97)</f>
        <v>0</v>
      </c>
      <c r="J97" s="116">
        <f t="shared" si="6"/>
        <v>0</v>
      </c>
      <c r="K97" s="116">
        <f t="shared" si="7"/>
        <v>0</v>
      </c>
      <c r="L97" s="118" t="str">
        <f>IFERROR(VLOOKUP(A97,Lijsten!$AD:$AE,2,0),"")</f>
        <v/>
      </c>
      <c r="M97" s="116">
        <f t="shared" si="8"/>
        <v>0</v>
      </c>
      <c r="N97" s="116">
        <f t="shared" si="9"/>
        <v>0</v>
      </c>
    </row>
    <row r="98" spans="1:14" x14ac:dyDescent="0.25">
      <c r="A98" s="78"/>
      <c r="B98" s="78"/>
      <c r="C98" s="78" t="str">
        <f>IFERROR(VLOOKUP($B98,Tb_ProjectKosten[],4,0),"")</f>
        <v/>
      </c>
      <c r="D98" s="105" t="str" cm="1">
        <f t="array" ref="D98">IFERROR(INDEX(Tb_KostenOpties[],MATCH(B98,Tb_KostenOpties[KostenOptie],0),IFERROR(MATCH(Methode_Keuze,Tb_KostenOpties[#Headers],0),2)),"")</f>
        <v/>
      </c>
      <c r="E98" s="117">
        <f>IFERROR(VLOOKUP(B98,Tb_ProjectKosten[[#All],[KostenOmschrijving]:[Forfat_Percentage]],6,0),0)</f>
        <v>0</v>
      </c>
      <c r="F98" s="115">
        <f>SUMIFS('5. Kosten uitvoering project'!P:P,'5. Kosten uitvoering project'!E:E,SubsidieTabel!A98,'5. Kosten uitvoering project'!F:F,SubsidieTabel!B98)</f>
        <v>0</v>
      </c>
      <c r="G98" s="115">
        <f>SUMIFS('5. Kosten uitvoering project'!Q:Q,'5. Kosten uitvoering project'!E:E,SubsidieTabel!A98,'5. Kosten uitvoering project'!F:F,SubsidieTabel!B98)</f>
        <v>0</v>
      </c>
      <c r="H98" s="115">
        <f>SUMIFS('5. Kosten uitvoering project'!R:R,'5. Kosten uitvoering project'!E:E,SubsidieTabel!A98,'5. Kosten uitvoering project'!F:F,SubsidieTabel!B98)</f>
        <v>0</v>
      </c>
      <c r="I98" s="115">
        <f>SUMIFS('5. Kosten uitvoering project'!S:S,'5. Kosten uitvoering project'!E:E,SubsidieTabel!A98,'5. Kosten uitvoering project'!F:F,SubsidieTabel!B98)</f>
        <v>0</v>
      </c>
      <c r="J98" s="115">
        <f t="shared" si="6"/>
        <v>0</v>
      </c>
      <c r="K98" s="115">
        <f t="shared" si="7"/>
        <v>0</v>
      </c>
      <c r="L98" s="117" t="str">
        <f>IFERROR(VLOOKUP(A98,Lijsten!$AD:$AE,2,0),"")</f>
        <v/>
      </c>
      <c r="M98" s="115">
        <f t="shared" si="8"/>
        <v>0</v>
      </c>
      <c r="N98" s="115">
        <f t="shared" si="9"/>
        <v>0</v>
      </c>
    </row>
    <row r="99" spans="1:14" x14ac:dyDescent="0.25">
      <c r="A99" s="18"/>
      <c r="B99" s="18"/>
      <c r="C99" s="18" t="str">
        <f>IFERROR(VLOOKUP($B99,Tb_ProjectKosten[],4,0),"")</f>
        <v/>
      </c>
      <c r="D99" s="106" t="str" cm="1">
        <f t="array" ref="D99">IFERROR(INDEX(Tb_KostenOpties[],MATCH(B99,Tb_KostenOpties[KostenOptie],0),IFERROR(MATCH(Methode_Keuze,Tb_KostenOpties[#Headers],0),2)),"")</f>
        <v/>
      </c>
      <c r="E99" s="118">
        <f>IFERROR(VLOOKUP(B99,Tb_ProjectKosten[[#All],[KostenOmschrijving]:[Forfat_Percentage]],6,0),0)</f>
        <v>0</v>
      </c>
      <c r="F99" s="116">
        <f>SUMIFS('5. Kosten uitvoering project'!P:P,'5. Kosten uitvoering project'!E:E,SubsidieTabel!A99,'5. Kosten uitvoering project'!F:F,SubsidieTabel!B99)</f>
        <v>0</v>
      </c>
      <c r="G99" s="116">
        <f>SUMIFS('5. Kosten uitvoering project'!Q:Q,'5. Kosten uitvoering project'!E:E,SubsidieTabel!A99,'5. Kosten uitvoering project'!F:F,SubsidieTabel!B99)</f>
        <v>0</v>
      </c>
      <c r="H99" s="116">
        <f>SUMIFS('5. Kosten uitvoering project'!R:R,'5. Kosten uitvoering project'!E:E,SubsidieTabel!A99,'5. Kosten uitvoering project'!F:F,SubsidieTabel!B99)</f>
        <v>0</v>
      </c>
      <c r="I99" s="116">
        <f>SUMIFS('5. Kosten uitvoering project'!S:S,'5. Kosten uitvoering project'!E:E,SubsidieTabel!A99,'5. Kosten uitvoering project'!F:F,SubsidieTabel!B99)</f>
        <v>0</v>
      </c>
      <c r="J99" s="116">
        <f t="shared" si="6"/>
        <v>0</v>
      </c>
      <c r="K99" s="116">
        <f t="shared" si="7"/>
        <v>0</v>
      </c>
      <c r="L99" s="118" t="str">
        <f>IFERROR(VLOOKUP(A99,Lijsten!$AD:$AE,2,0),"")</f>
        <v/>
      </c>
      <c r="M99" s="116">
        <f t="shared" si="8"/>
        <v>0</v>
      </c>
      <c r="N99" s="116">
        <f t="shared" si="9"/>
        <v>0</v>
      </c>
    </row>
    <row r="100" spans="1:14" x14ac:dyDescent="0.25">
      <c r="A100" s="78"/>
      <c r="B100" s="78"/>
      <c r="C100" s="78" t="str">
        <f>IFERROR(VLOOKUP($B100,Tb_ProjectKosten[],4,0),"")</f>
        <v/>
      </c>
      <c r="D100" s="105" t="str" cm="1">
        <f t="array" ref="D100">IFERROR(INDEX(Tb_KostenOpties[],MATCH(B100,Tb_KostenOpties[KostenOptie],0),IFERROR(MATCH(Methode_Keuze,Tb_KostenOpties[#Headers],0),2)),"")</f>
        <v/>
      </c>
      <c r="E100" s="117">
        <f>IFERROR(VLOOKUP(B100,Tb_ProjectKosten[[#All],[KostenOmschrijving]:[Forfat_Percentage]],6,0),0)</f>
        <v>0</v>
      </c>
      <c r="F100" s="115">
        <f>SUMIFS('5. Kosten uitvoering project'!P:P,'5. Kosten uitvoering project'!E:E,SubsidieTabel!A100,'5. Kosten uitvoering project'!F:F,SubsidieTabel!B100)</f>
        <v>0</v>
      </c>
      <c r="G100" s="115">
        <f>SUMIFS('5. Kosten uitvoering project'!Q:Q,'5. Kosten uitvoering project'!E:E,SubsidieTabel!A100,'5. Kosten uitvoering project'!F:F,SubsidieTabel!B100)</f>
        <v>0</v>
      </c>
      <c r="H100" s="115">
        <f>SUMIFS('5. Kosten uitvoering project'!R:R,'5. Kosten uitvoering project'!E:E,SubsidieTabel!A100,'5. Kosten uitvoering project'!F:F,SubsidieTabel!B100)</f>
        <v>0</v>
      </c>
      <c r="I100" s="115">
        <f>SUMIFS('5. Kosten uitvoering project'!S:S,'5. Kosten uitvoering project'!E:E,SubsidieTabel!A100,'5. Kosten uitvoering project'!F:F,SubsidieTabel!B100)</f>
        <v>0</v>
      </c>
      <c r="J100" s="115">
        <f t="shared" si="6"/>
        <v>0</v>
      </c>
      <c r="K100" s="115">
        <f t="shared" si="7"/>
        <v>0</v>
      </c>
      <c r="L100" s="117" t="str">
        <f>IFERROR(VLOOKUP(A100,Lijsten!$AD:$AE,2,0),"")</f>
        <v/>
      </c>
      <c r="M100" s="115">
        <f t="shared" si="8"/>
        <v>0</v>
      </c>
      <c r="N100" s="115">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103" t="s">
        <v>166</v>
      </c>
      <c r="B1" s="104" t="s">
        <v>92</v>
      </c>
      <c r="C1" s="104" t="s">
        <v>40</v>
      </c>
      <c r="D1" s="104" t="s">
        <v>137</v>
      </c>
      <c r="E1" s="104" t="s">
        <v>175</v>
      </c>
      <c r="F1" s="104" t="s">
        <v>176</v>
      </c>
      <c r="G1" s="104" t="s">
        <v>97</v>
      </c>
      <c r="H1" s="104" t="s">
        <v>98</v>
      </c>
      <c r="I1" s="104" t="s">
        <v>138</v>
      </c>
      <c r="J1" s="104" t="s">
        <v>140</v>
      </c>
      <c r="K1" s="104" t="s">
        <v>139</v>
      </c>
      <c r="L1" s="104" t="str">
        <f>"Uitgaven_aanvraag "&amp;Keuze_DB_Nr</f>
        <v xml:space="preserve">Uitgaven_aanvraag </v>
      </c>
      <c r="M1" s="104" t="str">
        <f>"Uitgaven_Beoordeeld "&amp;Keuze_DB_Nr</f>
        <v xml:space="preserve">Uitgaven_Beoordeeld </v>
      </c>
      <c r="N1" s="104" t="str">
        <f>"Forfait_Bedrag "&amp;Keuze_DB_Nr</f>
        <v xml:space="preserve">Forfait_Bedrag </v>
      </c>
      <c r="O1" s="104" t="str">
        <f xml:space="preserve"> "Forfait_Bedrag_Beoordeeld "&amp;Keuze_DB_Nr</f>
        <v xml:space="preserve">Forfait_Bedrag_Beoordeeld </v>
      </c>
      <c r="P1" s="104" t="str">
        <f>"Totaal_Aanvraag "&amp;Keuze_DB_Nr</f>
        <v xml:space="preserve">Totaal_Aanvraag </v>
      </c>
      <c r="Q1" s="104" t="str">
        <f>"Totaal_Beoordeeld "&amp;Keuze_DB_Nr</f>
        <v xml:space="preserve">Totaal_Beoordeeld </v>
      </c>
      <c r="R1" s="104" t="str">
        <f>"Uitgaven_aanvraag_BEO "&amp;Keuze_DB_Nr_BEO</f>
        <v xml:space="preserve">Uitgaven_aanvraag_BEO </v>
      </c>
      <c r="S1" s="104" t="str">
        <f>"Uitgaven_Beoordeeld_BEO "&amp;Keuze_DB_Nr_BEO</f>
        <v xml:space="preserve">Uitgaven_Beoordeeld_BEO </v>
      </c>
      <c r="T1" s="104" t="str">
        <f>"Forfait_Bedrag_BEO "&amp;Keuze_DB_Nr_BEO</f>
        <v xml:space="preserve">Forfait_Bedrag_BEO </v>
      </c>
      <c r="U1" s="104" t="str">
        <f xml:space="preserve"> "Forfait_Bedrag_Beoordeeld_BEO "&amp;Keuze_DB_Nr_BEO</f>
        <v xml:space="preserve">Forfait_Bedrag_Beoordeeld_BEO </v>
      </c>
      <c r="V1" s="104" t="str">
        <f>"Totaal_Aanvraag_BEO "&amp;Keuze_DB_Nr_BEO</f>
        <v xml:space="preserve">Totaal_Aanvraag_BEO </v>
      </c>
      <c r="W1" s="104" t="str">
        <f>"Totaal_Beoordeeld_BEO "&amp;Keuze_DB_Nr_BEO</f>
        <v xml:space="preserve">Totaal_Beoordeeld_BEO </v>
      </c>
    </row>
    <row r="2" spans="1:23" x14ac:dyDescent="0.25">
      <c r="A2" s="78" t="str" cm="1">
        <f t="array" ref="A2">IFERROR(_xlfn.UNIQUE(_xlfn._xlws.FILTER('8. Uitgaven betaalverzoek'!$E2:$F10000,'8. Uitgaven betaalverzoek'!$E2:$E10000&lt;&gt;"")),"")</f>
        <v/>
      </c>
      <c r="B2" s="78"/>
      <c r="C2" s="105" t="str" cm="1">
        <f t="array" ref="C2">IFERROR(INDEX(Tb_KostenOpties[],MATCH(B2,Tb_KostenOptiesDB[KostenOptie],0),IFERROR(MATCH(Methode_Keuze,Tb_KostenOptiesDB[#Headers],0),2)),"")</f>
        <v/>
      </c>
      <c r="D2" s="117">
        <f>IFERROR(INDEX(Tb_ProjectKosten[],MATCH($B2,Tb_ProjectKosten[Begroting],0),6),0)</f>
        <v>0</v>
      </c>
      <c r="E2" s="115">
        <f>SUMIFS('8. Uitgaven betaalverzoek'!$U:$U,'8. Uitgaven betaalverzoek'!$E:$E,$A2,'8. Uitgaven betaalverzoek'!$F:$F,$B2)</f>
        <v>0</v>
      </c>
      <c r="F2" s="115">
        <f>SUMIFS('8. Uitgaven betaalverzoek'!$V:$V,'8. Uitgaven betaalverzoek'!$E:$E,$A2,'8. Uitgaven betaalverzoek'!$F:$F,$B2)</f>
        <v>0</v>
      </c>
      <c r="G2" s="115" t="str">
        <f>IF(C2&lt;&gt;"",SUMIFS('8. Uitgaven betaalverzoek'!$W:$W,'8. Uitgaven betaalverzoek'!$E:$E,$A2,'8. Uitgaven betaalverzoek'!$F:$F,$B2),"")</f>
        <v/>
      </c>
      <c r="H2" s="115" t="str">
        <f>IF(C2&lt;&gt;"",SUMIFS('8. Uitgaven betaalverzoek'!$X:$X,'8. Uitgaven betaalverzoek'!$E:$E,$A2,'8. Uitgaven betaalverzoek'!$F:$F,$B2),"")</f>
        <v/>
      </c>
      <c r="I2" s="117" t="str">
        <f>IFERROR(VLOOKUP(A2,Lijsten!$AD:$AE,2,0),"")</f>
        <v/>
      </c>
      <c r="J2" s="115">
        <f>IFERROR($I2*(E2+G2),0)</f>
        <v>0</v>
      </c>
      <c r="K2" s="115">
        <f>IFERROR($I2*(F2+H2),0)</f>
        <v>0</v>
      </c>
      <c r="L2" s="115">
        <f>SUMIFS('8. Uitgaven betaalverzoek'!$U:$U,'8. Uitgaven betaalverzoek'!$E:$E,$A2,'8. Uitgaven betaalverzoek'!$F:$F,$B2,'8. Uitgaven betaalverzoek'!$A:$A,Keuze_DB_Nr)</f>
        <v>0</v>
      </c>
      <c r="M2" s="115">
        <f>SUMIFS('8. Uitgaven betaalverzoek'!$V:$V,'8. Uitgaven betaalverzoek'!$E:$E,$A2,'8. Uitgaven betaalverzoek'!$F:$F,$B2,'8. Uitgaven betaalverzoek'!$A:$A,Keuze_DB_Nr)</f>
        <v>0</v>
      </c>
      <c r="N2" s="115" t="str">
        <f>IF($C2&lt;&gt;"",SUMIFS('8. Uitgaven betaalverzoek'!$W:$W,'8. Uitgaven betaalverzoek'!$E:$E,$A2,'8. Uitgaven betaalverzoek'!$F:$F,$B2,'8. Uitgaven betaalverzoek'!$A:$A,Keuze_DB_Nr),"")</f>
        <v/>
      </c>
      <c r="O2" s="115" t="str">
        <f>IF($C2&lt;&gt;"",SUMIFS('8. Uitgaven betaalverzoek'!$X:$X,'8. Uitgaven betaalverzoek'!$E:$E,$A2,'8. Uitgaven betaalverzoek'!$F:$F,$B2,'8. Uitgaven betaalverzoek'!$A:$A,Keuze_DB_Nr),"")</f>
        <v/>
      </c>
      <c r="P2" s="115">
        <f>IFERROR($I2*(L2+N2),0)</f>
        <v>0</v>
      </c>
      <c r="Q2" s="115">
        <f t="shared" ref="P2:Q5" si="0">IFERROR($I2*(M2+O2),0)</f>
        <v>0</v>
      </c>
      <c r="R2" s="115">
        <f>SUMIFS('8. Uitgaven betaalverzoek'!$U:$U,'8. Uitgaven betaalverzoek'!$E:$E,$A2,'8. Uitgaven betaalverzoek'!$F:$F,$B2,'8. Uitgaven betaalverzoek'!$A:$A,Keuze_DB_Nr_BEO)</f>
        <v>0</v>
      </c>
      <c r="S2" s="115">
        <f>SUMIFS('8. Uitgaven betaalverzoek'!$V:$V,'8. Uitgaven betaalverzoek'!$E:$E,$A2,'8. Uitgaven betaalverzoek'!$F:$F,$B2,'8. Uitgaven betaalverzoek'!$A:$A,Keuze_DB_Nr_BEO)</f>
        <v>0</v>
      </c>
      <c r="T2" s="115" t="str">
        <f>IF($C2&lt;&gt;"",SUMIFS('8. Uitgaven betaalverzoek'!$W:$W,'8. Uitgaven betaalverzoek'!$E:$E,$A2,'8. Uitgaven betaalverzoek'!$F:$F,$B2,'8. Uitgaven betaalverzoek'!$A:$A,Keuze_DB_Nr_BEO),"")</f>
        <v/>
      </c>
      <c r="U2" s="115" t="str">
        <f>IF($C2&lt;&gt;"",SUMIFS('8. Uitgaven betaalverzoek'!$X:$X,'8. Uitgaven betaalverzoek'!$E:$E,$A2,'8. Uitgaven betaalverzoek'!$F:$F,$B2,'8. Uitgaven betaalverzoek'!$A:$A,Keuze_DB_Nr_BEO),"")</f>
        <v/>
      </c>
      <c r="V2" s="115">
        <f>IFERROR($I2*(R2+T2),0)</f>
        <v>0</v>
      </c>
      <c r="W2" s="115">
        <f>IFERROR($I2*(S2+U2),0)</f>
        <v>0</v>
      </c>
    </row>
    <row r="3" spans="1:23" x14ac:dyDescent="0.25">
      <c r="A3" s="18"/>
      <c r="B3" s="18"/>
      <c r="C3" s="106" t="str" cm="1">
        <f t="array" ref="C3">IFERROR(INDEX(Tb_KostenOpties[],MATCH(B3,Tb_KostenOptiesDB[KostenOptie],0),IFERROR(MATCH(Methode_Keuze,Tb_KostenOptiesDB[#Headers],0),2)),"")</f>
        <v/>
      </c>
      <c r="D3" s="118">
        <f>IFERROR(INDEX(Tb_ProjectKosten[],MATCH($B3,Tb_ProjectKosten[Begroting],0),6),0)</f>
        <v>0</v>
      </c>
      <c r="E3" s="116">
        <f>SUMIFS('8. Uitgaven betaalverzoek'!$U:$U,'8. Uitgaven betaalverzoek'!$E:$E,$A3,'8. Uitgaven betaalverzoek'!$F:$F,$B3)</f>
        <v>0</v>
      </c>
      <c r="F3" s="116">
        <f>SUMIFS('8. Uitgaven betaalverzoek'!$V:$V,'8. Uitgaven betaalverzoek'!$E:$E,$A3,'8. Uitgaven betaalverzoek'!$F:$F,$B3)</f>
        <v>0</v>
      </c>
      <c r="G3" s="116" t="str">
        <f>IF(C3&lt;&gt;"",SUMIFS('8. Uitgaven betaalverzoek'!$W:$W,'8. Uitgaven betaalverzoek'!$E:$E,$A3,'8. Uitgaven betaalverzoek'!$F:$F,$B3),"")</f>
        <v/>
      </c>
      <c r="H3" s="116" t="str">
        <f>IF(C3&lt;&gt;"",SUMIFS('8. Uitgaven betaalverzoek'!$X:$X,'8. Uitgaven betaalverzoek'!$E:$E,$A3,'8. Uitgaven betaalverzoek'!$F:$F,$B3),"")</f>
        <v/>
      </c>
      <c r="I3" s="118" t="str">
        <f>IFERROR(VLOOKUP(A3,Lijsten!$AD:$AE,2,0),"")</f>
        <v/>
      </c>
      <c r="J3" s="116">
        <f t="shared" ref="J3:K66" si="1">IFERROR($I3*(E3+G3),0)</f>
        <v>0</v>
      </c>
      <c r="K3" s="116">
        <f t="shared" si="1"/>
        <v>0</v>
      </c>
      <c r="L3" s="116">
        <f>SUMIFS('8. Uitgaven betaalverzoek'!$U:$U,'8. Uitgaven betaalverzoek'!$E:$E,$A3,'8. Uitgaven betaalverzoek'!$F:$F,$B3,'8. Uitgaven betaalverzoek'!$A:$A,Keuze_DB_Nr)</f>
        <v>0</v>
      </c>
      <c r="M3" s="116">
        <f>SUMIFS('8. Uitgaven betaalverzoek'!$V:$V,'8. Uitgaven betaalverzoek'!$E:$E,$A3,'8. Uitgaven betaalverzoek'!$F:$F,$B3,'8. Uitgaven betaalverzoek'!$A:$A,Keuze_DB_Nr)</f>
        <v>0</v>
      </c>
      <c r="N3" s="116" t="str">
        <f>IF($C3&lt;&gt;"",SUMIFS('8. Uitgaven betaalverzoek'!$W:$W,'8. Uitgaven betaalverzoek'!$E:$E,$A3,'8. Uitgaven betaalverzoek'!$F:$F,$B3,'8. Uitgaven betaalverzoek'!$A:$A,Keuze_DB_Nr),"")</f>
        <v/>
      </c>
      <c r="O3" s="116" t="str">
        <f>IF($C3&lt;&gt;"",SUMIFS('8. Uitgaven betaalverzoek'!$X:$X,'8. Uitgaven betaalverzoek'!$E:$E,$A3,'8. Uitgaven betaalverzoek'!$F:$F,$B3,'8. Uitgaven betaalverzoek'!$A:$A,Keuze_DB_Nr),"")</f>
        <v/>
      </c>
      <c r="P3" s="116">
        <f t="shared" si="0"/>
        <v>0</v>
      </c>
      <c r="Q3" s="116">
        <f t="shared" si="0"/>
        <v>0</v>
      </c>
      <c r="R3" s="116">
        <f>SUMIFS('8. Uitgaven betaalverzoek'!$U:$U,'8. Uitgaven betaalverzoek'!$E:$E,$A3,'8. Uitgaven betaalverzoek'!$F:$F,$B3,'8. Uitgaven betaalverzoek'!$A:$A,Keuze_DB_Nr_BEO)</f>
        <v>0</v>
      </c>
      <c r="S3" s="116">
        <f>SUMIFS('8. Uitgaven betaalverzoek'!$V:$V,'8. Uitgaven betaalverzoek'!$E:$E,$A3,'8. Uitgaven betaalverzoek'!$F:$F,$B3,'8. Uitgaven betaalverzoek'!$A:$A,Keuze_DB_Nr_BEO)</f>
        <v>0</v>
      </c>
      <c r="T3" s="116" t="str">
        <f>IF($C3&lt;&gt;"",SUMIFS('8. Uitgaven betaalverzoek'!$W:$W,'8. Uitgaven betaalverzoek'!$E:$E,$A3,'8. Uitgaven betaalverzoek'!$F:$F,$B3,'8. Uitgaven betaalverzoek'!$A:$A,Keuze_DB_Nr_BEO),"")</f>
        <v/>
      </c>
      <c r="U3" s="116" t="str">
        <f>IF($C3&lt;&gt;"",SUMIFS('8. Uitgaven betaalverzoek'!$X:$X,'8. Uitgaven betaalverzoek'!$E:$E,$A3,'8. Uitgaven betaalverzoek'!$F:$F,$B3,'8. Uitgaven betaalverzoek'!$A:$A,Keuze_DB_Nr_BEO),"")</f>
        <v/>
      </c>
      <c r="V3" s="116">
        <f t="shared" ref="V3:V66" si="2">IFERROR($I3*(R3+T3),0)</f>
        <v>0</v>
      </c>
      <c r="W3" s="116">
        <f t="shared" ref="W3:W66" si="3">IFERROR($I3*(S3+U3),0)</f>
        <v>0</v>
      </c>
    </row>
    <row r="4" spans="1:23" x14ac:dyDescent="0.25">
      <c r="A4" s="78"/>
      <c r="B4" s="78"/>
      <c r="C4" s="105" t="str" cm="1">
        <f t="array" ref="C4">IFERROR(INDEX(Tb_KostenOpties[],MATCH(B4,Tb_KostenOptiesDB[KostenOptie],0),IFERROR(MATCH(Methode_Keuze,Tb_KostenOptiesDB[#Headers],0),2)),"")</f>
        <v/>
      </c>
      <c r="D4" s="117">
        <f>IFERROR(INDEX(Tb_ProjectKosten[],MATCH($B4,Tb_ProjectKosten[Begroting],0),6),0)</f>
        <v>0</v>
      </c>
      <c r="E4" s="115">
        <f>SUMIFS('8. Uitgaven betaalverzoek'!$U:$U,'8. Uitgaven betaalverzoek'!$E:$E,$A4,'8. Uitgaven betaalverzoek'!$F:$F,$B4)</f>
        <v>0</v>
      </c>
      <c r="F4" s="115">
        <f>SUMIFS('8. Uitgaven betaalverzoek'!$V:$V,'8. Uitgaven betaalverzoek'!$E:$E,$A4,'8. Uitgaven betaalverzoek'!$F:$F,$B4)</f>
        <v>0</v>
      </c>
      <c r="G4" s="115" t="str">
        <f>IF(C4&lt;&gt;"",SUMIFS('8. Uitgaven betaalverzoek'!$W:$W,'8. Uitgaven betaalverzoek'!$E:$E,$A4,'8. Uitgaven betaalverzoek'!$F:$F,$B4),"")</f>
        <v/>
      </c>
      <c r="H4" s="115" t="str">
        <f>IF(C4&lt;&gt;"",SUMIFS('8. Uitgaven betaalverzoek'!$X:$X,'8. Uitgaven betaalverzoek'!$E:$E,$A4,'8. Uitgaven betaalverzoek'!$F:$F,$B4),"")</f>
        <v/>
      </c>
      <c r="I4" s="117" t="str">
        <f>IFERROR(VLOOKUP(A4,Lijsten!$AD:$AE,2,0),"")</f>
        <v/>
      </c>
      <c r="J4" s="115">
        <f>IFERROR($I4*(E4+G4),0)</f>
        <v>0</v>
      </c>
      <c r="K4" s="115">
        <f t="shared" si="1"/>
        <v>0</v>
      </c>
      <c r="L4" s="115">
        <f>SUMIFS('8. Uitgaven betaalverzoek'!$U:$U,'8. Uitgaven betaalverzoek'!$E:$E,$A4,'8. Uitgaven betaalverzoek'!$F:$F,$B4,'8. Uitgaven betaalverzoek'!$A:$A,Keuze_DB_Nr)</f>
        <v>0</v>
      </c>
      <c r="M4" s="115">
        <f>SUMIFS('8. Uitgaven betaalverzoek'!$V:$V,'8. Uitgaven betaalverzoek'!$E:$E,$A4,'8. Uitgaven betaalverzoek'!$F:$F,$B4,'8. Uitgaven betaalverzoek'!$A:$A,Keuze_DB_Nr)</f>
        <v>0</v>
      </c>
      <c r="N4" s="115" t="str">
        <f>IF($C4&lt;&gt;"",SUMIFS('8. Uitgaven betaalverzoek'!$W:$W,'8. Uitgaven betaalverzoek'!$E:$E,$A4,'8. Uitgaven betaalverzoek'!$F:$F,$B4,'8. Uitgaven betaalverzoek'!$A:$A,Keuze_DB_Nr),"")</f>
        <v/>
      </c>
      <c r="O4" s="115" t="str">
        <f>IF($C4&lt;&gt;"",SUMIFS('8. Uitgaven betaalverzoek'!$X:$X,'8. Uitgaven betaalverzoek'!$E:$E,$A4,'8. Uitgaven betaalverzoek'!$F:$F,$B4,'8. Uitgaven betaalverzoek'!$A:$A,Keuze_DB_Nr),"")</f>
        <v/>
      </c>
      <c r="P4" s="115">
        <f t="shared" si="0"/>
        <v>0</v>
      </c>
      <c r="Q4" s="115">
        <f t="shared" si="0"/>
        <v>0</v>
      </c>
      <c r="R4" s="115">
        <f>SUMIFS('8. Uitgaven betaalverzoek'!$U:$U,'8. Uitgaven betaalverzoek'!$E:$E,$A4,'8. Uitgaven betaalverzoek'!$F:$F,$B4,'8. Uitgaven betaalverzoek'!$A:$A,Keuze_DB_Nr_BEO)</f>
        <v>0</v>
      </c>
      <c r="S4" s="115">
        <f>SUMIFS('8. Uitgaven betaalverzoek'!$V:$V,'8. Uitgaven betaalverzoek'!$E:$E,$A4,'8. Uitgaven betaalverzoek'!$F:$F,$B4,'8. Uitgaven betaalverzoek'!$A:$A,Keuze_DB_Nr_BEO)</f>
        <v>0</v>
      </c>
      <c r="T4" s="115" t="str">
        <f>IF($C4&lt;&gt;"",SUMIFS('8. Uitgaven betaalverzoek'!$W:$W,'8. Uitgaven betaalverzoek'!$E:$E,$A4,'8. Uitgaven betaalverzoek'!$F:$F,$B4,'8. Uitgaven betaalverzoek'!$A:$A,Keuze_DB_Nr_BEO),"")</f>
        <v/>
      </c>
      <c r="U4" s="115" t="str">
        <f>IF($C4&lt;&gt;"",SUMIFS('8. Uitgaven betaalverzoek'!$X:$X,'8. Uitgaven betaalverzoek'!$E:$E,$A4,'8. Uitgaven betaalverzoek'!$F:$F,$B4,'8. Uitgaven betaalverzoek'!$A:$A,Keuze_DB_Nr_BEO),"")</f>
        <v/>
      </c>
      <c r="V4" s="115">
        <f t="shared" si="2"/>
        <v>0</v>
      </c>
      <c r="W4" s="115">
        <f t="shared" si="3"/>
        <v>0</v>
      </c>
    </row>
    <row r="5" spans="1:23" x14ac:dyDescent="0.25">
      <c r="A5" s="18"/>
      <c r="B5" s="18"/>
      <c r="C5" s="106" t="str" cm="1">
        <f t="array" ref="C5">IFERROR(INDEX(Tb_KostenOpties[],MATCH(B5,Tb_KostenOptiesDB[KostenOptie],0),IFERROR(MATCH(Methode_Keuze,Tb_KostenOptiesDB[#Headers],0),2)),"")</f>
        <v/>
      </c>
      <c r="D5" s="118">
        <f>IFERROR(INDEX(Tb_ProjectKosten[],MATCH($B5,Tb_ProjectKosten[Begroting],0),6),0)</f>
        <v>0</v>
      </c>
      <c r="E5" s="116">
        <f>SUMIFS('8. Uitgaven betaalverzoek'!$U:$U,'8. Uitgaven betaalverzoek'!$E:$E,$A5,'8. Uitgaven betaalverzoek'!$F:$F,$B5)</f>
        <v>0</v>
      </c>
      <c r="F5" s="116">
        <f>SUMIFS('8. Uitgaven betaalverzoek'!$V:$V,'8. Uitgaven betaalverzoek'!$E:$E,$A5,'8. Uitgaven betaalverzoek'!$F:$F,$B5)</f>
        <v>0</v>
      </c>
      <c r="G5" s="116" t="str">
        <f>IF(C5&lt;&gt;"",SUMIFS('8. Uitgaven betaalverzoek'!$W:$W,'8. Uitgaven betaalverzoek'!$E:$E,$A5,'8. Uitgaven betaalverzoek'!$F:$F,$B5),"")</f>
        <v/>
      </c>
      <c r="H5" s="116" t="str">
        <f>IF(C5&lt;&gt;"",SUMIFS('8. Uitgaven betaalverzoek'!$X:$X,'8. Uitgaven betaalverzoek'!$E:$E,$A5,'8. Uitgaven betaalverzoek'!$F:$F,$B5),"")</f>
        <v/>
      </c>
      <c r="I5" s="118" t="str">
        <f>IFERROR(VLOOKUP(A5,Lijsten!$AD:$AE,2,0),"")</f>
        <v/>
      </c>
      <c r="J5" s="116">
        <f t="shared" ref="J5:K68" si="4">IFERROR($I5*(E5+G5),0)</f>
        <v>0</v>
      </c>
      <c r="K5" s="116">
        <f t="shared" si="1"/>
        <v>0</v>
      </c>
      <c r="L5" s="116">
        <f>SUMIFS('8. Uitgaven betaalverzoek'!$U:$U,'8. Uitgaven betaalverzoek'!$E:$E,$A5,'8. Uitgaven betaalverzoek'!$F:$F,$B5,'8. Uitgaven betaalverzoek'!$A:$A,Keuze_DB_Nr)</f>
        <v>0</v>
      </c>
      <c r="M5" s="116">
        <f>SUMIFS('8. Uitgaven betaalverzoek'!$V:$V,'8. Uitgaven betaalverzoek'!$E:$E,$A5,'8. Uitgaven betaalverzoek'!$F:$F,$B5,'8. Uitgaven betaalverzoek'!$A:$A,Keuze_DB_Nr)</f>
        <v>0</v>
      </c>
      <c r="N5" s="116" t="str">
        <f>IF($C5&lt;&gt;"",SUMIFS('8. Uitgaven betaalverzoek'!$W:$W,'8. Uitgaven betaalverzoek'!$E:$E,$A5,'8. Uitgaven betaalverzoek'!$F:$F,$B5,'8. Uitgaven betaalverzoek'!$A:$A,Keuze_DB_Nr),"")</f>
        <v/>
      </c>
      <c r="O5" s="116" t="str">
        <f>IF($C5&lt;&gt;"",SUMIFS('8. Uitgaven betaalverzoek'!$X:$X,'8. Uitgaven betaalverzoek'!$E:$E,$A5,'8. Uitgaven betaalverzoek'!$F:$F,$B5,'8. Uitgaven betaalverzoek'!$A:$A,Keuze_DB_Nr),"")</f>
        <v/>
      </c>
      <c r="P5" s="116">
        <f t="shared" si="0"/>
        <v>0</v>
      </c>
      <c r="Q5" s="116">
        <f t="shared" si="0"/>
        <v>0</v>
      </c>
      <c r="R5" s="116">
        <f>SUMIFS('8. Uitgaven betaalverzoek'!$U:$U,'8. Uitgaven betaalverzoek'!$E:$E,$A5,'8. Uitgaven betaalverzoek'!$F:$F,$B5,'8. Uitgaven betaalverzoek'!$A:$A,Keuze_DB_Nr_BEO)</f>
        <v>0</v>
      </c>
      <c r="S5" s="116">
        <f>SUMIFS('8. Uitgaven betaalverzoek'!$V:$V,'8. Uitgaven betaalverzoek'!$E:$E,$A5,'8. Uitgaven betaalverzoek'!$F:$F,$B5,'8. Uitgaven betaalverzoek'!$A:$A,Keuze_DB_Nr_BEO)</f>
        <v>0</v>
      </c>
      <c r="T5" s="116" t="str">
        <f>IF($C5&lt;&gt;"",SUMIFS('8. Uitgaven betaalverzoek'!$W:$W,'8. Uitgaven betaalverzoek'!$E:$E,$A5,'8. Uitgaven betaalverzoek'!$F:$F,$B5,'8. Uitgaven betaalverzoek'!$A:$A,Keuze_DB_Nr_BEO),"")</f>
        <v/>
      </c>
      <c r="U5" s="116" t="str">
        <f>IF($C5&lt;&gt;"",SUMIFS('8. Uitgaven betaalverzoek'!$X:$X,'8. Uitgaven betaalverzoek'!$E:$E,$A5,'8. Uitgaven betaalverzoek'!$F:$F,$B5,'8. Uitgaven betaalverzoek'!$A:$A,Keuze_DB_Nr_BEO),"")</f>
        <v/>
      </c>
      <c r="V5" s="116">
        <f t="shared" si="2"/>
        <v>0</v>
      </c>
      <c r="W5" s="116">
        <f t="shared" si="3"/>
        <v>0</v>
      </c>
    </row>
    <row r="6" spans="1:23" x14ac:dyDescent="0.25">
      <c r="A6" s="78"/>
      <c r="B6" s="78"/>
      <c r="C6" s="105" t="str" cm="1">
        <f t="array" ref="C6">IFERROR(INDEX(Tb_KostenOpties[],MATCH(B6,Tb_KostenOptiesDB[KostenOptie],0),IFERROR(MATCH(Methode_Keuze,Tb_KostenOptiesDB[#Headers],0),2)),"")</f>
        <v/>
      </c>
      <c r="D6" s="117">
        <f>IFERROR(INDEX(Tb_ProjectKosten[],MATCH($B6,Tb_ProjectKosten[Begroting],0),6),0)</f>
        <v>0</v>
      </c>
      <c r="E6" s="115">
        <f>SUMIFS('8. Uitgaven betaalverzoek'!$U:$U,'8. Uitgaven betaalverzoek'!$E:$E,$A6,'8. Uitgaven betaalverzoek'!$F:$F,$B6)</f>
        <v>0</v>
      </c>
      <c r="F6" s="115">
        <f>SUMIFS('8. Uitgaven betaalverzoek'!$V:$V,'8. Uitgaven betaalverzoek'!$E:$E,$A6,'8. Uitgaven betaalverzoek'!$F:$F,$B6)</f>
        <v>0</v>
      </c>
      <c r="G6" s="115" t="str">
        <f>IF(C6&lt;&gt;"",SUMIFS('8. Uitgaven betaalverzoek'!$W:$W,'8. Uitgaven betaalverzoek'!$E:$E,$A6,'8. Uitgaven betaalverzoek'!$F:$F,$B6),"")</f>
        <v/>
      </c>
      <c r="H6" s="115" t="str">
        <f>IF(C6&lt;&gt;"",SUMIFS('8. Uitgaven betaalverzoek'!$X:$X,'8. Uitgaven betaalverzoek'!$E:$E,$A6,'8. Uitgaven betaalverzoek'!$F:$F,$B6),"")</f>
        <v/>
      </c>
      <c r="I6" s="117" t="str">
        <f>IFERROR(VLOOKUP(A6,Lijsten!$AD:$AE,2,0),"")</f>
        <v/>
      </c>
      <c r="J6" s="115">
        <f t="shared" si="4"/>
        <v>0</v>
      </c>
      <c r="K6" s="115">
        <f t="shared" si="1"/>
        <v>0</v>
      </c>
      <c r="L6" s="115">
        <f>SUMIFS('8. Uitgaven betaalverzoek'!$U:$U,'8. Uitgaven betaalverzoek'!$E:$E,$A6,'8. Uitgaven betaalverzoek'!$F:$F,$B6,'8. Uitgaven betaalverzoek'!$A:$A,Keuze_DB_Nr)</f>
        <v>0</v>
      </c>
      <c r="M6" s="115">
        <f>SUMIFS('8. Uitgaven betaalverzoek'!$V:$V,'8. Uitgaven betaalverzoek'!$E:$E,$A6,'8. Uitgaven betaalverzoek'!$F:$F,$B6,'8. Uitgaven betaalverzoek'!$A:$A,Keuze_DB_Nr)</f>
        <v>0</v>
      </c>
      <c r="N6" s="115" t="str">
        <f>IF($C6&lt;&gt;"",SUMIFS('8. Uitgaven betaalverzoek'!$W:$W,'8. Uitgaven betaalverzoek'!$E:$E,$A6,'8. Uitgaven betaalverzoek'!$F:$F,$B6,'8. Uitgaven betaalverzoek'!$A:$A,Keuze_DB_Nr),"")</f>
        <v/>
      </c>
      <c r="O6" s="115" t="str">
        <f>IF($C6&lt;&gt;"",SUMIFS('8. Uitgaven betaalverzoek'!$X:$X,'8. Uitgaven betaalverzoek'!$E:$E,$A6,'8. Uitgaven betaalverzoek'!$F:$F,$B6,'8. Uitgaven betaalverzoek'!$A:$A,Keuze_DB_Nr),"")</f>
        <v/>
      </c>
      <c r="P6" s="115">
        <f t="shared" ref="P6:P69" si="5">IFERROR($I6*(L6+N6),0)</f>
        <v>0</v>
      </c>
      <c r="Q6" s="115">
        <f t="shared" ref="Q6:Q69" si="6">IFERROR($I6*(M6+O6),0)</f>
        <v>0</v>
      </c>
      <c r="R6" s="115">
        <f>SUMIFS('8. Uitgaven betaalverzoek'!$U:$U,'8. Uitgaven betaalverzoek'!$E:$E,$A6,'8. Uitgaven betaalverzoek'!$F:$F,$B6,'8. Uitgaven betaalverzoek'!$A:$A,Keuze_DB_Nr_BEO)</f>
        <v>0</v>
      </c>
      <c r="S6" s="115">
        <f>SUMIFS('8. Uitgaven betaalverzoek'!$V:$V,'8. Uitgaven betaalverzoek'!$E:$E,$A6,'8. Uitgaven betaalverzoek'!$F:$F,$B6,'8. Uitgaven betaalverzoek'!$A:$A,Keuze_DB_Nr_BEO)</f>
        <v>0</v>
      </c>
      <c r="T6" s="115" t="str">
        <f>IF($C6&lt;&gt;"",SUMIFS('8. Uitgaven betaalverzoek'!$W:$W,'8. Uitgaven betaalverzoek'!$E:$E,$A6,'8. Uitgaven betaalverzoek'!$F:$F,$B6,'8. Uitgaven betaalverzoek'!$A:$A,Keuze_DB_Nr_BEO),"")</f>
        <v/>
      </c>
      <c r="U6" s="115" t="str">
        <f>IF($C6&lt;&gt;"",SUMIFS('8. Uitgaven betaalverzoek'!$X:$X,'8. Uitgaven betaalverzoek'!$E:$E,$A6,'8. Uitgaven betaalverzoek'!$F:$F,$B6,'8. Uitgaven betaalverzoek'!$A:$A,Keuze_DB_Nr_BEO),"")</f>
        <v/>
      </c>
      <c r="V6" s="115">
        <f t="shared" si="2"/>
        <v>0</v>
      </c>
      <c r="W6" s="115">
        <f t="shared" si="3"/>
        <v>0</v>
      </c>
    </row>
    <row r="7" spans="1:23" x14ac:dyDescent="0.25">
      <c r="A7" s="18"/>
      <c r="B7" s="18"/>
      <c r="C7" s="106" t="str" cm="1">
        <f t="array" ref="C7">IFERROR(INDEX(Tb_KostenOpties[],MATCH(B7,Tb_KostenOptiesDB[KostenOptie],0),IFERROR(MATCH(Methode_Keuze,Tb_KostenOptiesDB[#Headers],0),2)),"")</f>
        <v/>
      </c>
      <c r="D7" s="118">
        <f>IFERROR(INDEX(Tb_ProjectKosten[],MATCH($B7,Tb_ProjectKosten[Begroting],0),6),0)</f>
        <v>0</v>
      </c>
      <c r="E7" s="116">
        <f>SUMIFS('8. Uitgaven betaalverzoek'!$U:$U,'8. Uitgaven betaalverzoek'!$E:$E,$A7,'8. Uitgaven betaalverzoek'!$F:$F,$B7)</f>
        <v>0</v>
      </c>
      <c r="F7" s="116">
        <f>SUMIFS('8. Uitgaven betaalverzoek'!$V:$V,'8. Uitgaven betaalverzoek'!$E:$E,$A7,'8. Uitgaven betaalverzoek'!$F:$F,$B7)</f>
        <v>0</v>
      </c>
      <c r="G7" s="116" t="str">
        <f>IF(C7&lt;&gt;"",SUMIFS('8. Uitgaven betaalverzoek'!$W:$W,'8. Uitgaven betaalverzoek'!$E:$E,$A7,'8. Uitgaven betaalverzoek'!$F:$F,$B7),"")</f>
        <v/>
      </c>
      <c r="H7" s="116" t="str">
        <f>IF(C7&lt;&gt;"",SUMIFS('8. Uitgaven betaalverzoek'!$X:$X,'8. Uitgaven betaalverzoek'!$E:$E,$A7,'8. Uitgaven betaalverzoek'!$F:$F,$B7),"")</f>
        <v/>
      </c>
      <c r="I7" s="118" t="str">
        <f>IFERROR(VLOOKUP(A7,Lijsten!$AD:$AE,2,0),"")</f>
        <v/>
      </c>
      <c r="J7" s="116">
        <f t="shared" si="4"/>
        <v>0</v>
      </c>
      <c r="K7" s="116">
        <f t="shared" si="1"/>
        <v>0</v>
      </c>
      <c r="L7" s="116">
        <f>SUMIFS('8. Uitgaven betaalverzoek'!$U:$U,'8. Uitgaven betaalverzoek'!$E:$E,$A7,'8. Uitgaven betaalverzoek'!$F:$F,$B7,'8. Uitgaven betaalverzoek'!$A:$A,Keuze_DB_Nr)</f>
        <v>0</v>
      </c>
      <c r="M7" s="116">
        <f>SUMIFS('8. Uitgaven betaalverzoek'!$V:$V,'8. Uitgaven betaalverzoek'!$E:$E,$A7,'8. Uitgaven betaalverzoek'!$F:$F,$B7,'8. Uitgaven betaalverzoek'!$A:$A,Keuze_DB_Nr)</f>
        <v>0</v>
      </c>
      <c r="N7" s="116" t="str">
        <f>IF($C7&lt;&gt;"",SUMIFS('8. Uitgaven betaalverzoek'!$W:$W,'8. Uitgaven betaalverzoek'!$E:$E,$A7,'8. Uitgaven betaalverzoek'!$F:$F,$B7,'8. Uitgaven betaalverzoek'!$A:$A,Keuze_DB_Nr),"")</f>
        <v/>
      </c>
      <c r="O7" s="116" t="str">
        <f>IF($C7&lt;&gt;"",SUMIFS('8. Uitgaven betaalverzoek'!$X:$X,'8. Uitgaven betaalverzoek'!$E:$E,$A7,'8. Uitgaven betaalverzoek'!$F:$F,$B7,'8. Uitgaven betaalverzoek'!$A:$A,Keuze_DB_Nr),"")</f>
        <v/>
      </c>
      <c r="P7" s="116">
        <f t="shared" si="5"/>
        <v>0</v>
      </c>
      <c r="Q7" s="116">
        <f t="shared" si="6"/>
        <v>0</v>
      </c>
      <c r="R7" s="116">
        <f>SUMIFS('8. Uitgaven betaalverzoek'!$U:$U,'8. Uitgaven betaalverzoek'!$E:$E,$A7,'8. Uitgaven betaalverzoek'!$F:$F,$B7,'8. Uitgaven betaalverzoek'!$A:$A,Keuze_DB_Nr_BEO)</f>
        <v>0</v>
      </c>
      <c r="S7" s="116">
        <f>SUMIFS('8. Uitgaven betaalverzoek'!$V:$V,'8. Uitgaven betaalverzoek'!$E:$E,$A7,'8. Uitgaven betaalverzoek'!$F:$F,$B7,'8. Uitgaven betaalverzoek'!$A:$A,Keuze_DB_Nr_BEO)</f>
        <v>0</v>
      </c>
      <c r="T7" s="116" t="str">
        <f>IF($C7&lt;&gt;"",SUMIFS('8. Uitgaven betaalverzoek'!$W:$W,'8. Uitgaven betaalverzoek'!$E:$E,$A7,'8. Uitgaven betaalverzoek'!$F:$F,$B7,'8. Uitgaven betaalverzoek'!$A:$A,Keuze_DB_Nr_BEO),"")</f>
        <v/>
      </c>
      <c r="U7" s="116" t="str">
        <f>IF($C7&lt;&gt;"",SUMIFS('8. Uitgaven betaalverzoek'!$X:$X,'8. Uitgaven betaalverzoek'!$E:$E,$A7,'8. Uitgaven betaalverzoek'!$F:$F,$B7,'8. Uitgaven betaalverzoek'!$A:$A,Keuze_DB_Nr_BEO),"")</f>
        <v/>
      </c>
      <c r="V7" s="116">
        <f t="shared" si="2"/>
        <v>0</v>
      </c>
      <c r="W7" s="116">
        <f t="shared" si="3"/>
        <v>0</v>
      </c>
    </row>
    <row r="8" spans="1:23" x14ac:dyDescent="0.25">
      <c r="A8" s="78"/>
      <c r="B8" s="78"/>
      <c r="C8" s="105" t="str" cm="1">
        <f t="array" ref="C8">IFERROR(INDEX(Tb_KostenOpties[],MATCH(B8,Tb_KostenOptiesDB[KostenOptie],0),IFERROR(MATCH(Methode_Keuze,Tb_KostenOptiesDB[#Headers],0),2)),"")</f>
        <v/>
      </c>
      <c r="D8" s="117">
        <f>IFERROR(INDEX(Tb_ProjectKosten[],MATCH($B8,Tb_ProjectKosten[Begroting],0),6),0)</f>
        <v>0</v>
      </c>
      <c r="E8" s="115">
        <f>SUMIFS('8. Uitgaven betaalverzoek'!$U:$U,'8. Uitgaven betaalverzoek'!$E:$E,$A8,'8. Uitgaven betaalverzoek'!$F:$F,$B8)</f>
        <v>0</v>
      </c>
      <c r="F8" s="115">
        <f>SUMIFS('8. Uitgaven betaalverzoek'!$V:$V,'8. Uitgaven betaalverzoek'!$E:$E,$A8,'8. Uitgaven betaalverzoek'!$F:$F,$B8)</f>
        <v>0</v>
      </c>
      <c r="G8" s="115" t="str">
        <f>IF(C8&lt;&gt;"",SUMIFS('8. Uitgaven betaalverzoek'!$W:$W,'8. Uitgaven betaalverzoek'!$E:$E,$A8,'8. Uitgaven betaalverzoek'!$F:$F,$B8),"")</f>
        <v/>
      </c>
      <c r="H8" s="115" t="str">
        <f>IF(C8&lt;&gt;"",SUMIFS('8. Uitgaven betaalverzoek'!$X:$X,'8. Uitgaven betaalverzoek'!$E:$E,$A8,'8. Uitgaven betaalverzoek'!$F:$F,$B8),"")</f>
        <v/>
      </c>
      <c r="I8" s="117" t="str">
        <f>IFERROR(VLOOKUP(A8,Lijsten!$AD:$AE,2,0),"")</f>
        <v/>
      </c>
      <c r="J8" s="115">
        <f t="shared" si="4"/>
        <v>0</v>
      </c>
      <c r="K8" s="115">
        <f t="shared" si="1"/>
        <v>0</v>
      </c>
      <c r="L8" s="115">
        <f>SUMIFS('8. Uitgaven betaalverzoek'!$U:$U,'8. Uitgaven betaalverzoek'!$E:$E,$A8,'8. Uitgaven betaalverzoek'!$F:$F,$B8,'8. Uitgaven betaalverzoek'!$A:$A,Keuze_DB_Nr)</f>
        <v>0</v>
      </c>
      <c r="M8" s="115">
        <f>SUMIFS('8. Uitgaven betaalverzoek'!$V:$V,'8. Uitgaven betaalverzoek'!$E:$E,$A8,'8. Uitgaven betaalverzoek'!$F:$F,$B8,'8. Uitgaven betaalverzoek'!$A:$A,Keuze_DB_Nr)</f>
        <v>0</v>
      </c>
      <c r="N8" s="115" t="str">
        <f>IF($C8&lt;&gt;"",SUMIFS('8. Uitgaven betaalverzoek'!$W:$W,'8. Uitgaven betaalverzoek'!$E:$E,$A8,'8. Uitgaven betaalverzoek'!$F:$F,$B8,'8. Uitgaven betaalverzoek'!$A:$A,Keuze_DB_Nr),"")</f>
        <v/>
      </c>
      <c r="O8" s="115" t="str">
        <f>IF($C8&lt;&gt;"",SUMIFS('8. Uitgaven betaalverzoek'!$X:$X,'8. Uitgaven betaalverzoek'!$E:$E,$A8,'8. Uitgaven betaalverzoek'!$F:$F,$B8,'8. Uitgaven betaalverzoek'!$A:$A,Keuze_DB_Nr),"")</f>
        <v/>
      </c>
      <c r="P8" s="115">
        <f t="shared" si="5"/>
        <v>0</v>
      </c>
      <c r="Q8" s="115">
        <f t="shared" si="6"/>
        <v>0</v>
      </c>
      <c r="R8" s="115">
        <f>SUMIFS('8. Uitgaven betaalverzoek'!$U:$U,'8. Uitgaven betaalverzoek'!$E:$E,$A8,'8. Uitgaven betaalverzoek'!$F:$F,$B8,'8. Uitgaven betaalverzoek'!$A:$A,Keuze_DB_Nr_BEO)</f>
        <v>0</v>
      </c>
      <c r="S8" s="115">
        <f>SUMIFS('8. Uitgaven betaalverzoek'!$V:$V,'8. Uitgaven betaalverzoek'!$E:$E,$A8,'8. Uitgaven betaalverzoek'!$F:$F,$B8,'8. Uitgaven betaalverzoek'!$A:$A,Keuze_DB_Nr_BEO)</f>
        <v>0</v>
      </c>
      <c r="T8" s="115" t="str">
        <f>IF($C8&lt;&gt;"",SUMIFS('8. Uitgaven betaalverzoek'!$W:$W,'8. Uitgaven betaalverzoek'!$E:$E,$A8,'8. Uitgaven betaalverzoek'!$F:$F,$B8,'8. Uitgaven betaalverzoek'!$A:$A,Keuze_DB_Nr_BEO),"")</f>
        <v/>
      </c>
      <c r="U8" s="115" t="str">
        <f>IF($C8&lt;&gt;"",SUMIFS('8. Uitgaven betaalverzoek'!$X:$X,'8. Uitgaven betaalverzoek'!$E:$E,$A8,'8. Uitgaven betaalverzoek'!$F:$F,$B8,'8. Uitgaven betaalverzoek'!$A:$A,Keuze_DB_Nr_BEO),"")</f>
        <v/>
      </c>
      <c r="V8" s="115">
        <f t="shared" si="2"/>
        <v>0</v>
      </c>
      <c r="W8" s="115">
        <f t="shared" si="3"/>
        <v>0</v>
      </c>
    </row>
    <row r="9" spans="1:23" x14ac:dyDescent="0.25">
      <c r="A9" s="18"/>
      <c r="B9" s="18"/>
      <c r="C9" s="106" t="str" cm="1">
        <f t="array" ref="C9">IFERROR(INDEX(Tb_KostenOpties[],MATCH(B9,Tb_KostenOptiesDB[KostenOptie],0),IFERROR(MATCH(Methode_Keuze,Tb_KostenOptiesDB[#Headers],0),2)),"")</f>
        <v/>
      </c>
      <c r="D9" s="118">
        <f>IFERROR(INDEX(Tb_ProjectKosten[],MATCH($B9,Tb_ProjectKosten[Begroting],0),6),0)</f>
        <v>0</v>
      </c>
      <c r="E9" s="116">
        <f>SUMIFS('8. Uitgaven betaalverzoek'!$U:$U,'8. Uitgaven betaalverzoek'!$E:$E,$A9,'8. Uitgaven betaalverzoek'!$F:$F,$B9)</f>
        <v>0</v>
      </c>
      <c r="F9" s="116">
        <f>SUMIFS('8. Uitgaven betaalverzoek'!$V:$V,'8. Uitgaven betaalverzoek'!$E:$E,$A9,'8. Uitgaven betaalverzoek'!$F:$F,$B9)</f>
        <v>0</v>
      </c>
      <c r="G9" s="116" t="str">
        <f>IF(C9&lt;&gt;"",SUMIFS('8. Uitgaven betaalverzoek'!$W:$W,'8. Uitgaven betaalverzoek'!$E:$E,$A9,'8. Uitgaven betaalverzoek'!$F:$F,$B9),"")</f>
        <v/>
      </c>
      <c r="H9" s="116" t="str">
        <f>IF(C9&lt;&gt;"",SUMIFS('8. Uitgaven betaalverzoek'!$X:$X,'8. Uitgaven betaalverzoek'!$E:$E,$A9,'8. Uitgaven betaalverzoek'!$F:$F,$B9),"")</f>
        <v/>
      </c>
      <c r="I9" s="118" t="str">
        <f>IFERROR(VLOOKUP(A9,Lijsten!$AD:$AE,2,0),"")</f>
        <v/>
      </c>
      <c r="J9" s="116">
        <f t="shared" si="4"/>
        <v>0</v>
      </c>
      <c r="K9" s="116">
        <f t="shared" si="1"/>
        <v>0</v>
      </c>
      <c r="L9" s="116">
        <f>SUMIFS('8. Uitgaven betaalverzoek'!$U:$U,'8. Uitgaven betaalverzoek'!$E:$E,$A9,'8. Uitgaven betaalverzoek'!$F:$F,$B9,'8. Uitgaven betaalverzoek'!$A:$A,Keuze_DB_Nr)</f>
        <v>0</v>
      </c>
      <c r="M9" s="116">
        <f>SUMIFS('8. Uitgaven betaalverzoek'!$V:$V,'8. Uitgaven betaalverzoek'!$E:$E,$A9,'8. Uitgaven betaalverzoek'!$F:$F,$B9,'8. Uitgaven betaalverzoek'!$A:$A,Keuze_DB_Nr)</f>
        <v>0</v>
      </c>
      <c r="N9" s="116" t="str">
        <f>IF($C9&lt;&gt;"",SUMIFS('8. Uitgaven betaalverzoek'!$W:$W,'8. Uitgaven betaalverzoek'!$E:$E,$A9,'8. Uitgaven betaalverzoek'!$F:$F,$B9,'8. Uitgaven betaalverzoek'!$A:$A,Keuze_DB_Nr),"")</f>
        <v/>
      </c>
      <c r="O9" s="116" t="str">
        <f>IF($C9&lt;&gt;"",SUMIFS('8. Uitgaven betaalverzoek'!$X:$X,'8. Uitgaven betaalverzoek'!$E:$E,$A9,'8. Uitgaven betaalverzoek'!$F:$F,$B9,'8. Uitgaven betaalverzoek'!$A:$A,Keuze_DB_Nr),"")</f>
        <v/>
      </c>
      <c r="P9" s="116">
        <f t="shared" si="5"/>
        <v>0</v>
      </c>
      <c r="Q9" s="116">
        <f t="shared" si="6"/>
        <v>0</v>
      </c>
      <c r="R9" s="116">
        <f>SUMIFS('8. Uitgaven betaalverzoek'!$U:$U,'8. Uitgaven betaalverzoek'!$E:$E,$A9,'8. Uitgaven betaalverzoek'!$F:$F,$B9,'8. Uitgaven betaalverzoek'!$A:$A,Keuze_DB_Nr_BEO)</f>
        <v>0</v>
      </c>
      <c r="S9" s="116">
        <f>SUMIFS('8. Uitgaven betaalverzoek'!$V:$V,'8. Uitgaven betaalverzoek'!$E:$E,$A9,'8. Uitgaven betaalverzoek'!$F:$F,$B9,'8. Uitgaven betaalverzoek'!$A:$A,Keuze_DB_Nr_BEO)</f>
        <v>0</v>
      </c>
      <c r="T9" s="116" t="str">
        <f>IF($C9&lt;&gt;"",SUMIFS('8. Uitgaven betaalverzoek'!$W:$W,'8. Uitgaven betaalverzoek'!$E:$E,$A9,'8. Uitgaven betaalverzoek'!$F:$F,$B9,'8. Uitgaven betaalverzoek'!$A:$A,Keuze_DB_Nr_BEO),"")</f>
        <v/>
      </c>
      <c r="U9" s="116" t="str">
        <f>IF($C9&lt;&gt;"",SUMIFS('8. Uitgaven betaalverzoek'!$X:$X,'8. Uitgaven betaalverzoek'!$E:$E,$A9,'8. Uitgaven betaalverzoek'!$F:$F,$B9,'8. Uitgaven betaalverzoek'!$A:$A,Keuze_DB_Nr_BEO),"")</f>
        <v/>
      </c>
      <c r="V9" s="116">
        <f t="shared" si="2"/>
        <v>0</v>
      </c>
      <c r="W9" s="116">
        <f t="shared" si="3"/>
        <v>0</v>
      </c>
    </row>
    <row r="10" spans="1:23" x14ac:dyDescent="0.25">
      <c r="A10" s="78"/>
      <c r="B10" s="78"/>
      <c r="C10" s="105" t="str" cm="1">
        <f t="array" ref="C10">IFERROR(INDEX(Tb_KostenOpties[],MATCH(B10,Tb_KostenOptiesDB[KostenOptie],0),IFERROR(MATCH(Methode_Keuze,Tb_KostenOptiesDB[#Headers],0),2)),"")</f>
        <v/>
      </c>
      <c r="D10" s="117">
        <f>IFERROR(INDEX(Tb_ProjectKosten[],MATCH($B10,Tb_ProjectKosten[Begroting],0),6),0)</f>
        <v>0</v>
      </c>
      <c r="E10" s="115">
        <f>SUMIFS('8. Uitgaven betaalverzoek'!$U:$U,'8. Uitgaven betaalverzoek'!$E:$E,$A10,'8. Uitgaven betaalverzoek'!$F:$F,$B10)</f>
        <v>0</v>
      </c>
      <c r="F10" s="115">
        <f>SUMIFS('8. Uitgaven betaalverzoek'!$V:$V,'8. Uitgaven betaalverzoek'!$E:$E,$A10,'8. Uitgaven betaalverzoek'!$F:$F,$B10)</f>
        <v>0</v>
      </c>
      <c r="G10" s="115" t="str">
        <f>IF(C10&lt;&gt;"",SUMIFS('8. Uitgaven betaalverzoek'!$W:$W,'8. Uitgaven betaalverzoek'!$E:$E,$A10,'8. Uitgaven betaalverzoek'!$F:$F,$B10),"")</f>
        <v/>
      </c>
      <c r="H10" s="115" t="str">
        <f>IF(C10&lt;&gt;"",SUMIFS('8. Uitgaven betaalverzoek'!$X:$X,'8. Uitgaven betaalverzoek'!$E:$E,$A10,'8. Uitgaven betaalverzoek'!$F:$F,$B10),"")</f>
        <v/>
      </c>
      <c r="I10" s="117" t="str">
        <f>IFERROR(VLOOKUP(A10,Lijsten!$AD:$AE,2,0),"")</f>
        <v/>
      </c>
      <c r="J10" s="115">
        <f t="shared" si="4"/>
        <v>0</v>
      </c>
      <c r="K10" s="115">
        <f t="shared" si="1"/>
        <v>0</v>
      </c>
      <c r="L10" s="115">
        <f>SUMIFS('8. Uitgaven betaalverzoek'!$U:$U,'8. Uitgaven betaalverzoek'!$E:$E,$A10,'8. Uitgaven betaalverzoek'!$F:$F,$B10,'8. Uitgaven betaalverzoek'!$A:$A,Keuze_DB_Nr)</f>
        <v>0</v>
      </c>
      <c r="M10" s="115">
        <f>SUMIFS('8. Uitgaven betaalverzoek'!$V:$V,'8. Uitgaven betaalverzoek'!$E:$E,$A10,'8. Uitgaven betaalverzoek'!$F:$F,$B10,'8. Uitgaven betaalverzoek'!$A:$A,Keuze_DB_Nr)</f>
        <v>0</v>
      </c>
      <c r="N10" s="115" t="str">
        <f>IF($C10&lt;&gt;"",SUMIFS('8. Uitgaven betaalverzoek'!$W:$W,'8. Uitgaven betaalverzoek'!$E:$E,$A10,'8. Uitgaven betaalverzoek'!$F:$F,$B10,'8. Uitgaven betaalverzoek'!$A:$A,Keuze_DB_Nr),"")</f>
        <v/>
      </c>
      <c r="O10" s="115" t="str">
        <f>IF($C10&lt;&gt;"",SUMIFS('8. Uitgaven betaalverzoek'!$X:$X,'8. Uitgaven betaalverzoek'!$E:$E,$A10,'8. Uitgaven betaalverzoek'!$F:$F,$B10,'8. Uitgaven betaalverzoek'!$A:$A,Keuze_DB_Nr),"")</f>
        <v/>
      </c>
      <c r="P10" s="115">
        <f t="shared" si="5"/>
        <v>0</v>
      </c>
      <c r="Q10" s="115">
        <f t="shared" si="6"/>
        <v>0</v>
      </c>
      <c r="R10" s="115">
        <f>SUMIFS('8. Uitgaven betaalverzoek'!$U:$U,'8. Uitgaven betaalverzoek'!$E:$E,$A10,'8. Uitgaven betaalverzoek'!$F:$F,$B10,'8. Uitgaven betaalverzoek'!$A:$A,Keuze_DB_Nr_BEO)</f>
        <v>0</v>
      </c>
      <c r="S10" s="115">
        <f>SUMIFS('8. Uitgaven betaalverzoek'!$V:$V,'8. Uitgaven betaalverzoek'!$E:$E,$A10,'8. Uitgaven betaalverzoek'!$F:$F,$B10,'8. Uitgaven betaalverzoek'!$A:$A,Keuze_DB_Nr_BEO)</f>
        <v>0</v>
      </c>
      <c r="T10" s="115" t="str">
        <f>IF($C10&lt;&gt;"",SUMIFS('8. Uitgaven betaalverzoek'!$W:$W,'8. Uitgaven betaalverzoek'!$E:$E,$A10,'8. Uitgaven betaalverzoek'!$F:$F,$B10,'8. Uitgaven betaalverzoek'!$A:$A,Keuze_DB_Nr_BEO),"")</f>
        <v/>
      </c>
      <c r="U10" s="115" t="str">
        <f>IF($C10&lt;&gt;"",SUMIFS('8. Uitgaven betaalverzoek'!$X:$X,'8. Uitgaven betaalverzoek'!$E:$E,$A10,'8. Uitgaven betaalverzoek'!$F:$F,$B10,'8. Uitgaven betaalverzoek'!$A:$A,Keuze_DB_Nr_BEO),"")</f>
        <v/>
      </c>
      <c r="V10" s="115">
        <f t="shared" si="2"/>
        <v>0</v>
      </c>
      <c r="W10" s="115">
        <f t="shared" si="3"/>
        <v>0</v>
      </c>
    </row>
    <row r="11" spans="1:23" x14ac:dyDescent="0.25">
      <c r="A11" s="18"/>
      <c r="B11" s="18"/>
      <c r="C11" s="106" t="str" cm="1">
        <f t="array" ref="C11">IFERROR(INDEX(Tb_KostenOpties[],MATCH(B11,Tb_KostenOptiesDB[KostenOptie],0),IFERROR(MATCH(Methode_Keuze,Tb_KostenOptiesDB[#Headers],0),2)),"")</f>
        <v/>
      </c>
      <c r="D11" s="118">
        <f>IFERROR(INDEX(Tb_ProjectKosten[],MATCH($B11,Tb_ProjectKosten[Begroting],0),6),0)</f>
        <v>0</v>
      </c>
      <c r="E11" s="116">
        <f>SUMIFS('8. Uitgaven betaalverzoek'!$U:$U,'8. Uitgaven betaalverzoek'!$E:$E,$A11,'8. Uitgaven betaalverzoek'!$F:$F,$B11)</f>
        <v>0</v>
      </c>
      <c r="F11" s="116">
        <f>SUMIFS('8. Uitgaven betaalverzoek'!$V:$V,'8. Uitgaven betaalverzoek'!$E:$E,$A11,'8. Uitgaven betaalverzoek'!$F:$F,$B11)</f>
        <v>0</v>
      </c>
      <c r="G11" s="116" t="str">
        <f>IF(C11&lt;&gt;"",SUMIFS('8. Uitgaven betaalverzoek'!$W:$W,'8. Uitgaven betaalverzoek'!$E:$E,$A11,'8. Uitgaven betaalverzoek'!$F:$F,$B11),"")</f>
        <v/>
      </c>
      <c r="H11" s="116" t="str">
        <f>IF(C11&lt;&gt;"",SUMIFS('8. Uitgaven betaalverzoek'!$X:$X,'8. Uitgaven betaalverzoek'!$E:$E,$A11,'8. Uitgaven betaalverzoek'!$F:$F,$B11),"")</f>
        <v/>
      </c>
      <c r="I11" s="118" t="str">
        <f>IFERROR(VLOOKUP(A11,Lijsten!$AD:$AE,2,0),"")</f>
        <v/>
      </c>
      <c r="J11" s="116">
        <f t="shared" si="4"/>
        <v>0</v>
      </c>
      <c r="K11" s="116">
        <f t="shared" si="1"/>
        <v>0</v>
      </c>
      <c r="L11" s="116">
        <f>SUMIFS('8. Uitgaven betaalverzoek'!$U:$U,'8. Uitgaven betaalverzoek'!$E:$E,$A11,'8. Uitgaven betaalverzoek'!$F:$F,$B11,'8. Uitgaven betaalverzoek'!$A:$A,Keuze_DB_Nr)</f>
        <v>0</v>
      </c>
      <c r="M11" s="116">
        <f>SUMIFS('8. Uitgaven betaalverzoek'!$V:$V,'8. Uitgaven betaalverzoek'!$E:$E,$A11,'8. Uitgaven betaalverzoek'!$F:$F,$B11,'8. Uitgaven betaalverzoek'!$A:$A,Keuze_DB_Nr)</f>
        <v>0</v>
      </c>
      <c r="N11" s="116" t="str">
        <f>IF($C11&lt;&gt;"",SUMIFS('8. Uitgaven betaalverzoek'!$W:$W,'8. Uitgaven betaalverzoek'!$E:$E,$A11,'8. Uitgaven betaalverzoek'!$F:$F,$B11,'8. Uitgaven betaalverzoek'!$A:$A,Keuze_DB_Nr),"")</f>
        <v/>
      </c>
      <c r="O11" s="116" t="str">
        <f>IF($C11&lt;&gt;"",SUMIFS('8. Uitgaven betaalverzoek'!$X:$X,'8. Uitgaven betaalverzoek'!$E:$E,$A11,'8. Uitgaven betaalverzoek'!$F:$F,$B11,'8. Uitgaven betaalverzoek'!$A:$A,Keuze_DB_Nr),"")</f>
        <v/>
      </c>
      <c r="P11" s="116">
        <f t="shared" si="5"/>
        <v>0</v>
      </c>
      <c r="Q11" s="116">
        <f t="shared" si="6"/>
        <v>0</v>
      </c>
      <c r="R11" s="116">
        <f>SUMIFS('8. Uitgaven betaalverzoek'!$U:$U,'8. Uitgaven betaalverzoek'!$E:$E,$A11,'8. Uitgaven betaalverzoek'!$F:$F,$B11,'8. Uitgaven betaalverzoek'!$A:$A,Keuze_DB_Nr_BEO)</f>
        <v>0</v>
      </c>
      <c r="S11" s="116">
        <f>SUMIFS('8. Uitgaven betaalverzoek'!$V:$V,'8. Uitgaven betaalverzoek'!$E:$E,$A11,'8. Uitgaven betaalverzoek'!$F:$F,$B11,'8. Uitgaven betaalverzoek'!$A:$A,Keuze_DB_Nr_BEO)</f>
        <v>0</v>
      </c>
      <c r="T11" s="116" t="str">
        <f>IF($C11&lt;&gt;"",SUMIFS('8. Uitgaven betaalverzoek'!$W:$W,'8. Uitgaven betaalverzoek'!$E:$E,$A11,'8. Uitgaven betaalverzoek'!$F:$F,$B11,'8. Uitgaven betaalverzoek'!$A:$A,Keuze_DB_Nr_BEO),"")</f>
        <v/>
      </c>
      <c r="U11" s="116" t="str">
        <f>IF($C11&lt;&gt;"",SUMIFS('8. Uitgaven betaalverzoek'!$X:$X,'8. Uitgaven betaalverzoek'!$E:$E,$A11,'8. Uitgaven betaalverzoek'!$F:$F,$B11,'8. Uitgaven betaalverzoek'!$A:$A,Keuze_DB_Nr_BEO),"")</f>
        <v/>
      </c>
      <c r="V11" s="116">
        <f t="shared" si="2"/>
        <v>0</v>
      </c>
      <c r="W11" s="116">
        <f t="shared" si="3"/>
        <v>0</v>
      </c>
    </row>
    <row r="12" spans="1:23" x14ac:dyDescent="0.25">
      <c r="A12" s="78"/>
      <c r="B12" s="78"/>
      <c r="C12" s="105" t="str" cm="1">
        <f t="array" ref="C12">IFERROR(INDEX(Tb_KostenOpties[],MATCH(B12,Tb_KostenOptiesDB[KostenOptie],0),IFERROR(MATCH(Methode_Keuze,Tb_KostenOptiesDB[#Headers],0),2)),"")</f>
        <v/>
      </c>
      <c r="D12" s="117">
        <f>IFERROR(INDEX(Tb_ProjectKosten[],MATCH($B12,Tb_ProjectKosten[Begroting],0),6),0)</f>
        <v>0</v>
      </c>
      <c r="E12" s="115">
        <f>SUMIFS('8. Uitgaven betaalverzoek'!$U:$U,'8. Uitgaven betaalverzoek'!$E:$E,$A12,'8. Uitgaven betaalverzoek'!$F:$F,$B12)</f>
        <v>0</v>
      </c>
      <c r="F12" s="115">
        <f>SUMIFS('8. Uitgaven betaalverzoek'!$V:$V,'8. Uitgaven betaalverzoek'!$E:$E,$A12,'8. Uitgaven betaalverzoek'!$F:$F,$B12)</f>
        <v>0</v>
      </c>
      <c r="G12" s="115" t="str">
        <f>IF(C12&lt;&gt;"",SUMIFS('8. Uitgaven betaalverzoek'!$W:$W,'8. Uitgaven betaalverzoek'!$E:$E,$A12,'8. Uitgaven betaalverzoek'!$F:$F,$B12),"")</f>
        <v/>
      </c>
      <c r="H12" s="115" t="str">
        <f>IF(C12&lt;&gt;"",SUMIFS('8. Uitgaven betaalverzoek'!$X:$X,'8. Uitgaven betaalverzoek'!$E:$E,$A12,'8. Uitgaven betaalverzoek'!$F:$F,$B12),"")</f>
        <v/>
      </c>
      <c r="I12" s="117" t="str">
        <f>IFERROR(VLOOKUP(A12,Lijsten!$AD:$AE,2,0),"")</f>
        <v/>
      </c>
      <c r="J12" s="115">
        <f t="shared" si="4"/>
        <v>0</v>
      </c>
      <c r="K12" s="115">
        <f t="shared" si="1"/>
        <v>0</v>
      </c>
      <c r="L12" s="115">
        <f>SUMIFS('8. Uitgaven betaalverzoek'!$U:$U,'8. Uitgaven betaalverzoek'!$E:$E,$A12,'8. Uitgaven betaalverzoek'!$F:$F,$B12,'8. Uitgaven betaalverzoek'!$A:$A,Keuze_DB_Nr)</f>
        <v>0</v>
      </c>
      <c r="M12" s="115">
        <f>SUMIFS('8. Uitgaven betaalverzoek'!$V:$V,'8. Uitgaven betaalverzoek'!$E:$E,$A12,'8. Uitgaven betaalverzoek'!$F:$F,$B12,'8. Uitgaven betaalverzoek'!$A:$A,Keuze_DB_Nr)</f>
        <v>0</v>
      </c>
      <c r="N12" s="115" t="str">
        <f>IF($C12&lt;&gt;"",SUMIFS('8. Uitgaven betaalverzoek'!$W:$W,'8. Uitgaven betaalverzoek'!$E:$E,$A12,'8. Uitgaven betaalverzoek'!$F:$F,$B12,'8. Uitgaven betaalverzoek'!$A:$A,Keuze_DB_Nr),"")</f>
        <v/>
      </c>
      <c r="O12" s="115" t="str">
        <f>IF($C12&lt;&gt;"",SUMIFS('8. Uitgaven betaalverzoek'!$X:$X,'8. Uitgaven betaalverzoek'!$E:$E,$A12,'8. Uitgaven betaalverzoek'!$F:$F,$B12,'8. Uitgaven betaalverzoek'!$A:$A,Keuze_DB_Nr),"")</f>
        <v/>
      </c>
      <c r="P12" s="115">
        <f t="shared" si="5"/>
        <v>0</v>
      </c>
      <c r="Q12" s="115">
        <f t="shared" si="6"/>
        <v>0</v>
      </c>
      <c r="R12" s="115">
        <f>SUMIFS('8. Uitgaven betaalverzoek'!$U:$U,'8. Uitgaven betaalverzoek'!$E:$E,$A12,'8. Uitgaven betaalverzoek'!$F:$F,$B12,'8. Uitgaven betaalverzoek'!$A:$A,Keuze_DB_Nr_BEO)</f>
        <v>0</v>
      </c>
      <c r="S12" s="115">
        <f>SUMIFS('8. Uitgaven betaalverzoek'!$V:$V,'8. Uitgaven betaalverzoek'!$E:$E,$A12,'8. Uitgaven betaalverzoek'!$F:$F,$B12,'8. Uitgaven betaalverzoek'!$A:$A,Keuze_DB_Nr_BEO)</f>
        <v>0</v>
      </c>
      <c r="T12" s="115" t="str">
        <f>IF($C12&lt;&gt;"",SUMIFS('8. Uitgaven betaalverzoek'!$W:$W,'8. Uitgaven betaalverzoek'!$E:$E,$A12,'8. Uitgaven betaalverzoek'!$F:$F,$B12,'8. Uitgaven betaalverzoek'!$A:$A,Keuze_DB_Nr_BEO),"")</f>
        <v/>
      </c>
      <c r="U12" s="115" t="str">
        <f>IF($C12&lt;&gt;"",SUMIFS('8. Uitgaven betaalverzoek'!$X:$X,'8. Uitgaven betaalverzoek'!$E:$E,$A12,'8. Uitgaven betaalverzoek'!$F:$F,$B12,'8. Uitgaven betaalverzoek'!$A:$A,Keuze_DB_Nr_BEO),"")</f>
        <v/>
      </c>
      <c r="V12" s="115">
        <f t="shared" si="2"/>
        <v>0</v>
      </c>
      <c r="W12" s="115">
        <f t="shared" si="3"/>
        <v>0</v>
      </c>
    </row>
    <row r="13" spans="1:23" x14ac:dyDescent="0.25">
      <c r="A13" s="18"/>
      <c r="B13" s="18"/>
      <c r="C13" s="106" t="str" cm="1">
        <f t="array" ref="C13">IFERROR(INDEX(Tb_KostenOpties[],MATCH(B13,Tb_KostenOptiesDB[KostenOptie],0),IFERROR(MATCH(Methode_Keuze,Tb_KostenOptiesDB[#Headers],0),2)),"")</f>
        <v/>
      </c>
      <c r="D13" s="118">
        <f>IFERROR(INDEX(Tb_ProjectKosten[],MATCH($B13,Tb_ProjectKosten[Begroting],0),6),0)</f>
        <v>0</v>
      </c>
      <c r="E13" s="116">
        <f>SUMIFS('8. Uitgaven betaalverzoek'!$U:$U,'8. Uitgaven betaalverzoek'!$E:$E,$A13,'8. Uitgaven betaalverzoek'!$F:$F,$B13)</f>
        <v>0</v>
      </c>
      <c r="F13" s="116">
        <f>SUMIFS('8. Uitgaven betaalverzoek'!$V:$V,'8. Uitgaven betaalverzoek'!$E:$E,$A13,'8. Uitgaven betaalverzoek'!$F:$F,$B13)</f>
        <v>0</v>
      </c>
      <c r="G13" s="116" t="str">
        <f>IF(C13&lt;&gt;"",SUMIFS('8. Uitgaven betaalverzoek'!$W:$W,'8. Uitgaven betaalverzoek'!$E:$E,$A13,'8. Uitgaven betaalverzoek'!$F:$F,$B13),"")</f>
        <v/>
      </c>
      <c r="H13" s="116" t="str">
        <f>IF(C13&lt;&gt;"",SUMIFS('8. Uitgaven betaalverzoek'!$X:$X,'8. Uitgaven betaalverzoek'!$E:$E,$A13,'8. Uitgaven betaalverzoek'!$F:$F,$B13),"")</f>
        <v/>
      </c>
      <c r="I13" s="118" t="str">
        <f>IFERROR(VLOOKUP(A13,Lijsten!$AD:$AE,2,0),"")</f>
        <v/>
      </c>
      <c r="J13" s="116">
        <f t="shared" si="4"/>
        <v>0</v>
      </c>
      <c r="K13" s="116">
        <f t="shared" si="1"/>
        <v>0</v>
      </c>
      <c r="L13" s="116">
        <f>SUMIFS('8. Uitgaven betaalverzoek'!$U:$U,'8. Uitgaven betaalverzoek'!$E:$E,$A13,'8. Uitgaven betaalverzoek'!$F:$F,$B13,'8. Uitgaven betaalverzoek'!$A:$A,Keuze_DB_Nr)</f>
        <v>0</v>
      </c>
      <c r="M13" s="116">
        <f>SUMIFS('8. Uitgaven betaalverzoek'!$V:$V,'8. Uitgaven betaalverzoek'!$E:$E,$A13,'8. Uitgaven betaalverzoek'!$F:$F,$B13,'8. Uitgaven betaalverzoek'!$A:$A,Keuze_DB_Nr)</f>
        <v>0</v>
      </c>
      <c r="N13" s="116" t="str">
        <f>IF($C13&lt;&gt;"",SUMIFS('8. Uitgaven betaalverzoek'!$W:$W,'8. Uitgaven betaalverzoek'!$E:$E,$A13,'8. Uitgaven betaalverzoek'!$F:$F,$B13,'8. Uitgaven betaalverzoek'!$A:$A,Keuze_DB_Nr),"")</f>
        <v/>
      </c>
      <c r="O13" s="116" t="str">
        <f>IF($C13&lt;&gt;"",SUMIFS('8. Uitgaven betaalverzoek'!$X:$X,'8. Uitgaven betaalverzoek'!$E:$E,$A13,'8. Uitgaven betaalverzoek'!$F:$F,$B13,'8. Uitgaven betaalverzoek'!$A:$A,Keuze_DB_Nr),"")</f>
        <v/>
      </c>
      <c r="P13" s="116">
        <f t="shared" si="5"/>
        <v>0</v>
      </c>
      <c r="Q13" s="116">
        <f t="shared" si="6"/>
        <v>0</v>
      </c>
      <c r="R13" s="116">
        <f>SUMIFS('8. Uitgaven betaalverzoek'!$U:$U,'8. Uitgaven betaalverzoek'!$E:$E,$A13,'8. Uitgaven betaalverzoek'!$F:$F,$B13,'8. Uitgaven betaalverzoek'!$A:$A,Keuze_DB_Nr_BEO)</f>
        <v>0</v>
      </c>
      <c r="S13" s="116">
        <f>SUMIFS('8. Uitgaven betaalverzoek'!$V:$V,'8. Uitgaven betaalverzoek'!$E:$E,$A13,'8. Uitgaven betaalverzoek'!$F:$F,$B13,'8. Uitgaven betaalverzoek'!$A:$A,Keuze_DB_Nr_BEO)</f>
        <v>0</v>
      </c>
      <c r="T13" s="116" t="str">
        <f>IF($C13&lt;&gt;"",SUMIFS('8. Uitgaven betaalverzoek'!$W:$W,'8. Uitgaven betaalverzoek'!$E:$E,$A13,'8. Uitgaven betaalverzoek'!$F:$F,$B13,'8. Uitgaven betaalverzoek'!$A:$A,Keuze_DB_Nr_BEO),"")</f>
        <v/>
      </c>
      <c r="U13" s="116" t="str">
        <f>IF($C13&lt;&gt;"",SUMIFS('8. Uitgaven betaalverzoek'!$X:$X,'8. Uitgaven betaalverzoek'!$E:$E,$A13,'8. Uitgaven betaalverzoek'!$F:$F,$B13,'8. Uitgaven betaalverzoek'!$A:$A,Keuze_DB_Nr_BEO),"")</f>
        <v/>
      </c>
      <c r="V13" s="116">
        <f t="shared" si="2"/>
        <v>0</v>
      </c>
      <c r="W13" s="116">
        <f t="shared" si="3"/>
        <v>0</v>
      </c>
    </row>
    <row r="14" spans="1:23" x14ac:dyDescent="0.25">
      <c r="A14" s="78"/>
      <c r="B14" s="78"/>
      <c r="C14" s="105" t="str" cm="1">
        <f t="array" ref="C14">IFERROR(INDEX(Tb_KostenOpties[],MATCH(B14,Tb_KostenOptiesDB[KostenOptie],0),IFERROR(MATCH(Methode_Keuze,Tb_KostenOptiesDB[#Headers],0),2)),"")</f>
        <v/>
      </c>
      <c r="D14" s="117">
        <f>IFERROR(INDEX(Tb_ProjectKosten[],MATCH($B14,Tb_ProjectKosten[Begroting],0),6),0)</f>
        <v>0</v>
      </c>
      <c r="E14" s="115">
        <f>SUMIFS('8. Uitgaven betaalverzoek'!$U:$U,'8. Uitgaven betaalverzoek'!$E:$E,$A14,'8. Uitgaven betaalverzoek'!$F:$F,$B14)</f>
        <v>0</v>
      </c>
      <c r="F14" s="115">
        <f>SUMIFS('8. Uitgaven betaalverzoek'!$V:$V,'8. Uitgaven betaalverzoek'!$E:$E,$A14,'8. Uitgaven betaalverzoek'!$F:$F,$B14)</f>
        <v>0</v>
      </c>
      <c r="G14" s="115" t="str">
        <f>IF(C14&lt;&gt;"",SUMIFS('8. Uitgaven betaalverzoek'!$W:$W,'8. Uitgaven betaalverzoek'!$E:$E,$A14,'8. Uitgaven betaalverzoek'!$F:$F,$B14),"")</f>
        <v/>
      </c>
      <c r="H14" s="115" t="str">
        <f>IF(C14&lt;&gt;"",SUMIFS('8. Uitgaven betaalverzoek'!$X:$X,'8. Uitgaven betaalverzoek'!$E:$E,$A14,'8. Uitgaven betaalverzoek'!$F:$F,$B14),"")</f>
        <v/>
      </c>
      <c r="I14" s="117" t="str">
        <f>IFERROR(VLOOKUP(A14,Lijsten!$AD:$AE,2,0),"")</f>
        <v/>
      </c>
      <c r="J14" s="115">
        <f t="shared" si="4"/>
        <v>0</v>
      </c>
      <c r="K14" s="115">
        <f t="shared" si="1"/>
        <v>0</v>
      </c>
      <c r="L14" s="115">
        <f>SUMIFS('8. Uitgaven betaalverzoek'!$U:$U,'8. Uitgaven betaalverzoek'!$E:$E,$A14,'8. Uitgaven betaalverzoek'!$F:$F,$B14,'8. Uitgaven betaalverzoek'!$A:$A,Keuze_DB_Nr)</f>
        <v>0</v>
      </c>
      <c r="M14" s="115">
        <f>SUMIFS('8. Uitgaven betaalverzoek'!$V:$V,'8. Uitgaven betaalverzoek'!$E:$E,$A14,'8. Uitgaven betaalverzoek'!$F:$F,$B14,'8. Uitgaven betaalverzoek'!$A:$A,Keuze_DB_Nr)</f>
        <v>0</v>
      </c>
      <c r="N14" s="115" t="str">
        <f>IF($C14&lt;&gt;"",SUMIFS('8. Uitgaven betaalverzoek'!$W:$W,'8. Uitgaven betaalverzoek'!$E:$E,$A14,'8. Uitgaven betaalverzoek'!$F:$F,$B14,'8. Uitgaven betaalverzoek'!$A:$A,Keuze_DB_Nr),"")</f>
        <v/>
      </c>
      <c r="O14" s="115" t="str">
        <f>IF($C14&lt;&gt;"",SUMIFS('8. Uitgaven betaalverzoek'!$X:$X,'8. Uitgaven betaalverzoek'!$E:$E,$A14,'8. Uitgaven betaalverzoek'!$F:$F,$B14,'8. Uitgaven betaalverzoek'!$A:$A,Keuze_DB_Nr),"")</f>
        <v/>
      </c>
      <c r="P14" s="115">
        <f t="shared" si="5"/>
        <v>0</v>
      </c>
      <c r="Q14" s="115">
        <f t="shared" si="6"/>
        <v>0</v>
      </c>
      <c r="R14" s="115">
        <f>SUMIFS('8. Uitgaven betaalverzoek'!$U:$U,'8. Uitgaven betaalverzoek'!$E:$E,$A14,'8. Uitgaven betaalverzoek'!$F:$F,$B14,'8. Uitgaven betaalverzoek'!$A:$A,Keuze_DB_Nr_BEO)</f>
        <v>0</v>
      </c>
      <c r="S14" s="115">
        <f>SUMIFS('8. Uitgaven betaalverzoek'!$V:$V,'8. Uitgaven betaalverzoek'!$E:$E,$A14,'8. Uitgaven betaalverzoek'!$F:$F,$B14,'8. Uitgaven betaalverzoek'!$A:$A,Keuze_DB_Nr_BEO)</f>
        <v>0</v>
      </c>
      <c r="T14" s="115" t="str">
        <f>IF($C14&lt;&gt;"",SUMIFS('8. Uitgaven betaalverzoek'!$W:$W,'8. Uitgaven betaalverzoek'!$E:$E,$A14,'8. Uitgaven betaalverzoek'!$F:$F,$B14,'8. Uitgaven betaalverzoek'!$A:$A,Keuze_DB_Nr_BEO),"")</f>
        <v/>
      </c>
      <c r="U14" s="115" t="str">
        <f>IF($C14&lt;&gt;"",SUMIFS('8. Uitgaven betaalverzoek'!$X:$X,'8. Uitgaven betaalverzoek'!$E:$E,$A14,'8. Uitgaven betaalverzoek'!$F:$F,$B14,'8. Uitgaven betaalverzoek'!$A:$A,Keuze_DB_Nr_BEO),"")</f>
        <v/>
      </c>
      <c r="V14" s="115">
        <f t="shared" si="2"/>
        <v>0</v>
      </c>
      <c r="W14" s="115">
        <f t="shared" si="3"/>
        <v>0</v>
      </c>
    </row>
    <row r="15" spans="1:23" x14ac:dyDescent="0.25">
      <c r="A15" s="18"/>
      <c r="B15" s="18"/>
      <c r="C15" s="106" t="str" cm="1">
        <f t="array" ref="C15">IFERROR(INDEX(Tb_KostenOpties[],MATCH(B15,Tb_KostenOptiesDB[KostenOptie],0),IFERROR(MATCH(Methode_Keuze,Tb_KostenOptiesDB[#Headers],0),2)),"")</f>
        <v/>
      </c>
      <c r="D15" s="118">
        <f>IFERROR(INDEX(Tb_ProjectKosten[],MATCH($B15,Tb_ProjectKosten[Begroting],0),6),0)</f>
        <v>0</v>
      </c>
      <c r="E15" s="116">
        <f>SUMIFS('8. Uitgaven betaalverzoek'!$U:$U,'8. Uitgaven betaalverzoek'!$E:$E,$A15,'8. Uitgaven betaalverzoek'!$F:$F,$B15)</f>
        <v>0</v>
      </c>
      <c r="F15" s="116">
        <f>SUMIFS('8. Uitgaven betaalverzoek'!$V:$V,'8. Uitgaven betaalverzoek'!$E:$E,$A15,'8. Uitgaven betaalverzoek'!$F:$F,$B15)</f>
        <v>0</v>
      </c>
      <c r="G15" s="116" t="str">
        <f>IF(C15&lt;&gt;"",SUMIFS('8. Uitgaven betaalverzoek'!$W:$W,'8. Uitgaven betaalverzoek'!$E:$E,$A15,'8. Uitgaven betaalverzoek'!$F:$F,$B15),"")</f>
        <v/>
      </c>
      <c r="H15" s="116" t="str">
        <f>IF(C15&lt;&gt;"",SUMIFS('8. Uitgaven betaalverzoek'!$X:$X,'8. Uitgaven betaalverzoek'!$E:$E,$A15,'8. Uitgaven betaalverzoek'!$F:$F,$B15),"")</f>
        <v/>
      </c>
      <c r="I15" s="118" t="str">
        <f>IFERROR(VLOOKUP(A15,Lijsten!$AD:$AE,2,0),"")</f>
        <v/>
      </c>
      <c r="J15" s="116">
        <f t="shared" si="4"/>
        <v>0</v>
      </c>
      <c r="K15" s="116">
        <f t="shared" si="1"/>
        <v>0</v>
      </c>
      <c r="L15" s="116">
        <f>SUMIFS('8. Uitgaven betaalverzoek'!$U:$U,'8. Uitgaven betaalverzoek'!$E:$E,$A15,'8. Uitgaven betaalverzoek'!$F:$F,$B15,'8. Uitgaven betaalverzoek'!$A:$A,Keuze_DB_Nr)</f>
        <v>0</v>
      </c>
      <c r="M15" s="116">
        <f>SUMIFS('8. Uitgaven betaalverzoek'!$V:$V,'8. Uitgaven betaalverzoek'!$E:$E,$A15,'8. Uitgaven betaalverzoek'!$F:$F,$B15,'8. Uitgaven betaalverzoek'!$A:$A,Keuze_DB_Nr)</f>
        <v>0</v>
      </c>
      <c r="N15" s="116" t="str">
        <f>IF($C15&lt;&gt;"",SUMIFS('8. Uitgaven betaalverzoek'!$W:$W,'8. Uitgaven betaalverzoek'!$E:$E,$A15,'8. Uitgaven betaalverzoek'!$F:$F,$B15,'8. Uitgaven betaalverzoek'!$A:$A,Keuze_DB_Nr),"")</f>
        <v/>
      </c>
      <c r="O15" s="116" t="str">
        <f>IF($C15&lt;&gt;"",SUMIFS('8. Uitgaven betaalverzoek'!$X:$X,'8. Uitgaven betaalverzoek'!$E:$E,$A15,'8. Uitgaven betaalverzoek'!$F:$F,$B15,'8. Uitgaven betaalverzoek'!$A:$A,Keuze_DB_Nr),"")</f>
        <v/>
      </c>
      <c r="P15" s="116">
        <f t="shared" si="5"/>
        <v>0</v>
      </c>
      <c r="Q15" s="116">
        <f t="shared" si="6"/>
        <v>0</v>
      </c>
      <c r="R15" s="116">
        <f>SUMIFS('8. Uitgaven betaalverzoek'!$U:$U,'8. Uitgaven betaalverzoek'!$E:$E,$A15,'8. Uitgaven betaalverzoek'!$F:$F,$B15,'8. Uitgaven betaalverzoek'!$A:$A,Keuze_DB_Nr_BEO)</f>
        <v>0</v>
      </c>
      <c r="S15" s="116">
        <f>SUMIFS('8. Uitgaven betaalverzoek'!$V:$V,'8. Uitgaven betaalverzoek'!$E:$E,$A15,'8. Uitgaven betaalverzoek'!$F:$F,$B15,'8. Uitgaven betaalverzoek'!$A:$A,Keuze_DB_Nr_BEO)</f>
        <v>0</v>
      </c>
      <c r="T15" s="116" t="str">
        <f>IF($C15&lt;&gt;"",SUMIFS('8. Uitgaven betaalverzoek'!$W:$W,'8. Uitgaven betaalverzoek'!$E:$E,$A15,'8. Uitgaven betaalverzoek'!$F:$F,$B15,'8. Uitgaven betaalverzoek'!$A:$A,Keuze_DB_Nr_BEO),"")</f>
        <v/>
      </c>
      <c r="U15" s="116" t="str">
        <f>IF($C15&lt;&gt;"",SUMIFS('8. Uitgaven betaalverzoek'!$X:$X,'8. Uitgaven betaalverzoek'!$E:$E,$A15,'8. Uitgaven betaalverzoek'!$F:$F,$B15,'8. Uitgaven betaalverzoek'!$A:$A,Keuze_DB_Nr_BEO),"")</f>
        <v/>
      </c>
      <c r="V15" s="116">
        <f t="shared" si="2"/>
        <v>0</v>
      </c>
      <c r="W15" s="116">
        <f t="shared" si="3"/>
        <v>0</v>
      </c>
    </row>
    <row r="16" spans="1:23" x14ac:dyDescent="0.25">
      <c r="A16" s="78"/>
      <c r="B16" s="78"/>
      <c r="C16" s="105" t="str" cm="1">
        <f t="array" ref="C16">IFERROR(INDEX(Tb_KostenOpties[],MATCH(B16,Tb_KostenOptiesDB[KostenOptie],0),IFERROR(MATCH(Methode_Keuze,Tb_KostenOptiesDB[#Headers],0),2)),"")</f>
        <v/>
      </c>
      <c r="D16" s="117">
        <f>IFERROR(INDEX(Tb_ProjectKosten[],MATCH($B16,Tb_ProjectKosten[Begroting],0),6),0)</f>
        <v>0</v>
      </c>
      <c r="E16" s="115">
        <f>SUMIFS('8. Uitgaven betaalverzoek'!$U:$U,'8. Uitgaven betaalverzoek'!$E:$E,$A16,'8. Uitgaven betaalverzoek'!$F:$F,$B16)</f>
        <v>0</v>
      </c>
      <c r="F16" s="115">
        <f>SUMIFS('8. Uitgaven betaalverzoek'!$V:$V,'8. Uitgaven betaalverzoek'!$E:$E,$A16,'8. Uitgaven betaalverzoek'!$F:$F,$B16)</f>
        <v>0</v>
      </c>
      <c r="G16" s="115" t="str">
        <f>IF(C16&lt;&gt;"",SUMIFS('8. Uitgaven betaalverzoek'!$W:$W,'8. Uitgaven betaalverzoek'!$E:$E,$A16,'8. Uitgaven betaalverzoek'!$F:$F,$B16),"")</f>
        <v/>
      </c>
      <c r="H16" s="115" t="str">
        <f>IF(C16&lt;&gt;"",SUMIFS('8. Uitgaven betaalverzoek'!$X:$X,'8. Uitgaven betaalverzoek'!$E:$E,$A16,'8. Uitgaven betaalverzoek'!$F:$F,$B16),"")</f>
        <v/>
      </c>
      <c r="I16" s="117" t="str">
        <f>IFERROR(VLOOKUP(A16,Lijsten!$AD:$AE,2,0),"")</f>
        <v/>
      </c>
      <c r="J16" s="115">
        <f t="shared" si="4"/>
        <v>0</v>
      </c>
      <c r="K16" s="115">
        <f t="shared" si="1"/>
        <v>0</v>
      </c>
      <c r="L16" s="115">
        <f>SUMIFS('8. Uitgaven betaalverzoek'!$U:$U,'8. Uitgaven betaalverzoek'!$E:$E,$A16,'8. Uitgaven betaalverzoek'!$F:$F,$B16,'8. Uitgaven betaalverzoek'!$A:$A,Keuze_DB_Nr)</f>
        <v>0</v>
      </c>
      <c r="M16" s="115">
        <f>SUMIFS('8. Uitgaven betaalverzoek'!$V:$V,'8. Uitgaven betaalverzoek'!$E:$E,$A16,'8. Uitgaven betaalverzoek'!$F:$F,$B16,'8. Uitgaven betaalverzoek'!$A:$A,Keuze_DB_Nr)</f>
        <v>0</v>
      </c>
      <c r="N16" s="115" t="str">
        <f>IF($C16&lt;&gt;"",SUMIFS('8. Uitgaven betaalverzoek'!$W:$W,'8. Uitgaven betaalverzoek'!$E:$E,$A16,'8. Uitgaven betaalverzoek'!$F:$F,$B16,'8. Uitgaven betaalverzoek'!$A:$A,Keuze_DB_Nr),"")</f>
        <v/>
      </c>
      <c r="O16" s="115" t="str">
        <f>IF($C16&lt;&gt;"",SUMIFS('8. Uitgaven betaalverzoek'!$X:$X,'8. Uitgaven betaalverzoek'!$E:$E,$A16,'8. Uitgaven betaalverzoek'!$F:$F,$B16,'8. Uitgaven betaalverzoek'!$A:$A,Keuze_DB_Nr),"")</f>
        <v/>
      </c>
      <c r="P16" s="115">
        <f t="shared" si="5"/>
        <v>0</v>
      </c>
      <c r="Q16" s="115">
        <f t="shared" si="6"/>
        <v>0</v>
      </c>
      <c r="R16" s="115">
        <f>SUMIFS('8. Uitgaven betaalverzoek'!$U:$U,'8. Uitgaven betaalverzoek'!$E:$E,$A16,'8. Uitgaven betaalverzoek'!$F:$F,$B16,'8. Uitgaven betaalverzoek'!$A:$A,Keuze_DB_Nr_BEO)</f>
        <v>0</v>
      </c>
      <c r="S16" s="115">
        <f>SUMIFS('8. Uitgaven betaalverzoek'!$V:$V,'8. Uitgaven betaalverzoek'!$E:$E,$A16,'8. Uitgaven betaalverzoek'!$F:$F,$B16,'8. Uitgaven betaalverzoek'!$A:$A,Keuze_DB_Nr_BEO)</f>
        <v>0</v>
      </c>
      <c r="T16" s="115" t="str">
        <f>IF($C16&lt;&gt;"",SUMIFS('8. Uitgaven betaalverzoek'!$W:$W,'8. Uitgaven betaalverzoek'!$E:$E,$A16,'8. Uitgaven betaalverzoek'!$F:$F,$B16,'8. Uitgaven betaalverzoek'!$A:$A,Keuze_DB_Nr_BEO),"")</f>
        <v/>
      </c>
      <c r="U16" s="115" t="str">
        <f>IF($C16&lt;&gt;"",SUMIFS('8. Uitgaven betaalverzoek'!$X:$X,'8. Uitgaven betaalverzoek'!$E:$E,$A16,'8. Uitgaven betaalverzoek'!$F:$F,$B16,'8. Uitgaven betaalverzoek'!$A:$A,Keuze_DB_Nr_BEO),"")</f>
        <v/>
      </c>
      <c r="V16" s="115">
        <f t="shared" si="2"/>
        <v>0</v>
      </c>
      <c r="W16" s="115">
        <f t="shared" si="3"/>
        <v>0</v>
      </c>
    </row>
    <row r="17" spans="1:23" x14ac:dyDescent="0.25">
      <c r="A17" s="18"/>
      <c r="B17" s="18"/>
      <c r="C17" s="106" t="str" cm="1">
        <f t="array" ref="C17">IFERROR(INDEX(Tb_KostenOpties[],MATCH(B17,Tb_KostenOptiesDB[KostenOptie],0),IFERROR(MATCH(Methode_Keuze,Tb_KostenOptiesDB[#Headers],0),2)),"")</f>
        <v/>
      </c>
      <c r="D17" s="118">
        <f>IFERROR(INDEX(Tb_ProjectKosten[],MATCH($B17,Tb_ProjectKosten[Begroting],0),6),0)</f>
        <v>0</v>
      </c>
      <c r="E17" s="116">
        <f>SUMIFS('8. Uitgaven betaalverzoek'!$U:$U,'8. Uitgaven betaalverzoek'!$E:$E,$A17,'8. Uitgaven betaalverzoek'!$F:$F,$B17)</f>
        <v>0</v>
      </c>
      <c r="F17" s="116">
        <f>SUMIFS('8. Uitgaven betaalverzoek'!$V:$V,'8. Uitgaven betaalverzoek'!$E:$E,$A17,'8. Uitgaven betaalverzoek'!$F:$F,$B17)</f>
        <v>0</v>
      </c>
      <c r="G17" s="116" t="str">
        <f>IF(C17&lt;&gt;"",SUMIFS('8. Uitgaven betaalverzoek'!$W:$W,'8. Uitgaven betaalverzoek'!$E:$E,$A17,'8. Uitgaven betaalverzoek'!$F:$F,$B17),"")</f>
        <v/>
      </c>
      <c r="H17" s="116" t="str">
        <f>IF(C17&lt;&gt;"",SUMIFS('8. Uitgaven betaalverzoek'!$X:$X,'8. Uitgaven betaalverzoek'!$E:$E,$A17,'8. Uitgaven betaalverzoek'!$F:$F,$B17),"")</f>
        <v/>
      </c>
      <c r="I17" s="118" t="str">
        <f>IFERROR(VLOOKUP(A17,Lijsten!$AD:$AE,2,0),"")</f>
        <v/>
      </c>
      <c r="J17" s="116">
        <f t="shared" si="4"/>
        <v>0</v>
      </c>
      <c r="K17" s="116">
        <f t="shared" si="1"/>
        <v>0</v>
      </c>
      <c r="L17" s="116">
        <f>SUMIFS('8. Uitgaven betaalverzoek'!$U:$U,'8. Uitgaven betaalverzoek'!$E:$E,$A17,'8. Uitgaven betaalverzoek'!$F:$F,$B17,'8. Uitgaven betaalverzoek'!$A:$A,Keuze_DB_Nr)</f>
        <v>0</v>
      </c>
      <c r="M17" s="116">
        <f>SUMIFS('8. Uitgaven betaalverzoek'!$V:$V,'8. Uitgaven betaalverzoek'!$E:$E,$A17,'8. Uitgaven betaalverzoek'!$F:$F,$B17,'8. Uitgaven betaalverzoek'!$A:$A,Keuze_DB_Nr)</f>
        <v>0</v>
      </c>
      <c r="N17" s="116" t="str">
        <f>IF($C17&lt;&gt;"",SUMIFS('8. Uitgaven betaalverzoek'!$W:$W,'8. Uitgaven betaalverzoek'!$E:$E,$A17,'8. Uitgaven betaalverzoek'!$F:$F,$B17,'8. Uitgaven betaalverzoek'!$A:$A,Keuze_DB_Nr),"")</f>
        <v/>
      </c>
      <c r="O17" s="116" t="str">
        <f>IF($C17&lt;&gt;"",SUMIFS('8. Uitgaven betaalverzoek'!$X:$X,'8. Uitgaven betaalverzoek'!$E:$E,$A17,'8. Uitgaven betaalverzoek'!$F:$F,$B17,'8. Uitgaven betaalverzoek'!$A:$A,Keuze_DB_Nr),"")</f>
        <v/>
      </c>
      <c r="P17" s="116">
        <f t="shared" si="5"/>
        <v>0</v>
      </c>
      <c r="Q17" s="116">
        <f t="shared" si="6"/>
        <v>0</v>
      </c>
      <c r="R17" s="116">
        <f>SUMIFS('8. Uitgaven betaalverzoek'!$U:$U,'8. Uitgaven betaalverzoek'!$E:$E,$A17,'8. Uitgaven betaalverzoek'!$F:$F,$B17,'8. Uitgaven betaalverzoek'!$A:$A,Keuze_DB_Nr_BEO)</f>
        <v>0</v>
      </c>
      <c r="S17" s="116">
        <f>SUMIFS('8. Uitgaven betaalverzoek'!$V:$V,'8. Uitgaven betaalverzoek'!$E:$E,$A17,'8. Uitgaven betaalverzoek'!$F:$F,$B17,'8. Uitgaven betaalverzoek'!$A:$A,Keuze_DB_Nr_BEO)</f>
        <v>0</v>
      </c>
      <c r="T17" s="116" t="str">
        <f>IF($C17&lt;&gt;"",SUMIFS('8. Uitgaven betaalverzoek'!$W:$W,'8. Uitgaven betaalverzoek'!$E:$E,$A17,'8. Uitgaven betaalverzoek'!$F:$F,$B17,'8. Uitgaven betaalverzoek'!$A:$A,Keuze_DB_Nr_BEO),"")</f>
        <v/>
      </c>
      <c r="U17" s="116" t="str">
        <f>IF($C17&lt;&gt;"",SUMIFS('8. Uitgaven betaalverzoek'!$X:$X,'8. Uitgaven betaalverzoek'!$E:$E,$A17,'8. Uitgaven betaalverzoek'!$F:$F,$B17,'8. Uitgaven betaalverzoek'!$A:$A,Keuze_DB_Nr_BEO),"")</f>
        <v/>
      </c>
      <c r="V17" s="116">
        <f t="shared" si="2"/>
        <v>0</v>
      </c>
      <c r="W17" s="116">
        <f t="shared" si="3"/>
        <v>0</v>
      </c>
    </row>
    <row r="18" spans="1:23" x14ac:dyDescent="0.25">
      <c r="A18" s="78"/>
      <c r="B18" s="78"/>
      <c r="C18" s="105" t="str" cm="1">
        <f t="array" ref="C18">IFERROR(INDEX(Tb_KostenOpties[],MATCH(B18,Tb_KostenOptiesDB[KostenOptie],0),IFERROR(MATCH(Methode_Keuze,Tb_KostenOptiesDB[#Headers],0),2)),"")</f>
        <v/>
      </c>
      <c r="D18" s="117">
        <f>IFERROR(INDEX(Tb_ProjectKosten[],MATCH($B18,Tb_ProjectKosten[Begroting],0),6),0)</f>
        <v>0</v>
      </c>
      <c r="E18" s="115">
        <f>SUMIFS('8. Uitgaven betaalverzoek'!$U:$U,'8. Uitgaven betaalverzoek'!$E:$E,$A18,'8. Uitgaven betaalverzoek'!$F:$F,$B18)</f>
        <v>0</v>
      </c>
      <c r="F18" s="115">
        <f>SUMIFS('8. Uitgaven betaalverzoek'!$V:$V,'8. Uitgaven betaalverzoek'!$E:$E,$A18,'8. Uitgaven betaalverzoek'!$F:$F,$B18)</f>
        <v>0</v>
      </c>
      <c r="G18" s="115" t="str">
        <f>IF(C18&lt;&gt;"",SUMIFS('8. Uitgaven betaalverzoek'!$W:$W,'8. Uitgaven betaalverzoek'!$E:$E,$A18,'8. Uitgaven betaalverzoek'!$F:$F,$B18),"")</f>
        <v/>
      </c>
      <c r="H18" s="115" t="str">
        <f>IF(C18&lt;&gt;"",SUMIFS('8. Uitgaven betaalverzoek'!$X:$X,'8. Uitgaven betaalverzoek'!$E:$E,$A18,'8. Uitgaven betaalverzoek'!$F:$F,$B18),"")</f>
        <v/>
      </c>
      <c r="I18" s="117" t="str">
        <f>IFERROR(VLOOKUP(A18,Lijsten!$AD:$AE,2,0),"")</f>
        <v/>
      </c>
      <c r="J18" s="115">
        <f t="shared" si="4"/>
        <v>0</v>
      </c>
      <c r="K18" s="115">
        <f t="shared" si="1"/>
        <v>0</v>
      </c>
      <c r="L18" s="115">
        <f>SUMIFS('8. Uitgaven betaalverzoek'!$U:$U,'8. Uitgaven betaalverzoek'!$E:$E,$A18,'8. Uitgaven betaalverzoek'!$F:$F,$B18,'8. Uitgaven betaalverzoek'!$A:$A,Keuze_DB_Nr)</f>
        <v>0</v>
      </c>
      <c r="M18" s="115">
        <f>SUMIFS('8. Uitgaven betaalverzoek'!$V:$V,'8. Uitgaven betaalverzoek'!$E:$E,$A18,'8. Uitgaven betaalverzoek'!$F:$F,$B18,'8. Uitgaven betaalverzoek'!$A:$A,Keuze_DB_Nr)</f>
        <v>0</v>
      </c>
      <c r="N18" s="115" t="str">
        <f>IF($C18&lt;&gt;"",SUMIFS('8. Uitgaven betaalverzoek'!$W:$W,'8. Uitgaven betaalverzoek'!$E:$E,$A18,'8. Uitgaven betaalverzoek'!$F:$F,$B18,'8. Uitgaven betaalverzoek'!$A:$A,Keuze_DB_Nr),"")</f>
        <v/>
      </c>
      <c r="O18" s="115" t="str">
        <f>IF($C18&lt;&gt;"",SUMIFS('8. Uitgaven betaalverzoek'!$X:$X,'8. Uitgaven betaalverzoek'!$E:$E,$A18,'8. Uitgaven betaalverzoek'!$F:$F,$B18,'8. Uitgaven betaalverzoek'!$A:$A,Keuze_DB_Nr),"")</f>
        <v/>
      </c>
      <c r="P18" s="115">
        <f t="shared" si="5"/>
        <v>0</v>
      </c>
      <c r="Q18" s="115">
        <f t="shared" si="6"/>
        <v>0</v>
      </c>
      <c r="R18" s="115">
        <f>SUMIFS('8. Uitgaven betaalverzoek'!$U:$U,'8. Uitgaven betaalverzoek'!$E:$E,$A18,'8. Uitgaven betaalverzoek'!$F:$F,$B18,'8. Uitgaven betaalverzoek'!$A:$A,Keuze_DB_Nr_BEO)</f>
        <v>0</v>
      </c>
      <c r="S18" s="115">
        <f>SUMIFS('8. Uitgaven betaalverzoek'!$V:$V,'8. Uitgaven betaalverzoek'!$E:$E,$A18,'8. Uitgaven betaalverzoek'!$F:$F,$B18,'8. Uitgaven betaalverzoek'!$A:$A,Keuze_DB_Nr_BEO)</f>
        <v>0</v>
      </c>
      <c r="T18" s="115" t="str">
        <f>IF($C18&lt;&gt;"",SUMIFS('8. Uitgaven betaalverzoek'!$W:$W,'8. Uitgaven betaalverzoek'!$E:$E,$A18,'8. Uitgaven betaalverzoek'!$F:$F,$B18,'8. Uitgaven betaalverzoek'!$A:$A,Keuze_DB_Nr_BEO),"")</f>
        <v/>
      </c>
      <c r="U18" s="115" t="str">
        <f>IF($C18&lt;&gt;"",SUMIFS('8. Uitgaven betaalverzoek'!$X:$X,'8. Uitgaven betaalverzoek'!$E:$E,$A18,'8. Uitgaven betaalverzoek'!$F:$F,$B18,'8. Uitgaven betaalverzoek'!$A:$A,Keuze_DB_Nr_BEO),"")</f>
        <v/>
      </c>
      <c r="V18" s="115">
        <f t="shared" si="2"/>
        <v>0</v>
      </c>
      <c r="W18" s="115">
        <f t="shared" si="3"/>
        <v>0</v>
      </c>
    </row>
    <row r="19" spans="1:23" x14ac:dyDescent="0.25">
      <c r="A19" s="18"/>
      <c r="B19" s="18"/>
      <c r="C19" s="106" t="str" cm="1">
        <f t="array" ref="C19">IFERROR(INDEX(Tb_KostenOpties[],MATCH(B19,Tb_KostenOptiesDB[KostenOptie],0),IFERROR(MATCH(Methode_Keuze,Tb_KostenOptiesDB[#Headers],0),2)),"")</f>
        <v/>
      </c>
      <c r="D19" s="118">
        <f>IFERROR(INDEX(Tb_ProjectKosten[],MATCH($B19,Tb_ProjectKosten[Begroting],0),6),0)</f>
        <v>0</v>
      </c>
      <c r="E19" s="116">
        <f>SUMIFS('8. Uitgaven betaalverzoek'!$U:$U,'8. Uitgaven betaalverzoek'!$E:$E,$A19,'8. Uitgaven betaalverzoek'!$F:$F,$B19)</f>
        <v>0</v>
      </c>
      <c r="F19" s="116">
        <f>SUMIFS('8. Uitgaven betaalverzoek'!$V:$V,'8. Uitgaven betaalverzoek'!$E:$E,$A19,'8. Uitgaven betaalverzoek'!$F:$F,$B19)</f>
        <v>0</v>
      </c>
      <c r="G19" s="116" t="str">
        <f>IF(C19&lt;&gt;"",SUMIFS('8. Uitgaven betaalverzoek'!$W:$W,'8. Uitgaven betaalverzoek'!$E:$E,$A19,'8. Uitgaven betaalverzoek'!$F:$F,$B19),"")</f>
        <v/>
      </c>
      <c r="H19" s="116" t="str">
        <f>IF(C19&lt;&gt;"",SUMIFS('8. Uitgaven betaalverzoek'!$X:$X,'8. Uitgaven betaalverzoek'!$E:$E,$A19,'8. Uitgaven betaalverzoek'!$F:$F,$B19),"")</f>
        <v/>
      </c>
      <c r="I19" s="118" t="str">
        <f>IFERROR(VLOOKUP(A19,Lijsten!$AD:$AE,2,0),"")</f>
        <v/>
      </c>
      <c r="J19" s="116">
        <f t="shared" si="4"/>
        <v>0</v>
      </c>
      <c r="K19" s="116">
        <f t="shared" si="1"/>
        <v>0</v>
      </c>
      <c r="L19" s="116">
        <f>SUMIFS('8. Uitgaven betaalverzoek'!$U:$U,'8. Uitgaven betaalverzoek'!$E:$E,$A19,'8. Uitgaven betaalverzoek'!$F:$F,$B19,'8. Uitgaven betaalverzoek'!$A:$A,Keuze_DB_Nr)</f>
        <v>0</v>
      </c>
      <c r="M19" s="116">
        <f>SUMIFS('8. Uitgaven betaalverzoek'!$V:$V,'8. Uitgaven betaalverzoek'!$E:$E,$A19,'8. Uitgaven betaalverzoek'!$F:$F,$B19,'8. Uitgaven betaalverzoek'!$A:$A,Keuze_DB_Nr)</f>
        <v>0</v>
      </c>
      <c r="N19" s="116" t="str">
        <f>IF($C19&lt;&gt;"",SUMIFS('8. Uitgaven betaalverzoek'!$W:$W,'8. Uitgaven betaalverzoek'!$E:$E,$A19,'8. Uitgaven betaalverzoek'!$F:$F,$B19,'8. Uitgaven betaalverzoek'!$A:$A,Keuze_DB_Nr),"")</f>
        <v/>
      </c>
      <c r="O19" s="116" t="str">
        <f>IF($C19&lt;&gt;"",SUMIFS('8. Uitgaven betaalverzoek'!$X:$X,'8. Uitgaven betaalverzoek'!$E:$E,$A19,'8. Uitgaven betaalverzoek'!$F:$F,$B19,'8. Uitgaven betaalverzoek'!$A:$A,Keuze_DB_Nr),"")</f>
        <v/>
      </c>
      <c r="P19" s="116">
        <f t="shared" si="5"/>
        <v>0</v>
      </c>
      <c r="Q19" s="116">
        <f t="shared" si="6"/>
        <v>0</v>
      </c>
      <c r="R19" s="116">
        <f>SUMIFS('8. Uitgaven betaalverzoek'!$U:$U,'8. Uitgaven betaalverzoek'!$E:$E,$A19,'8. Uitgaven betaalverzoek'!$F:$F,$B19,'8. Uitgaven betaalverzoek'!$A:$A,Keuze_DB_Nr_BEO)</f>
        <v>0</v>
      </c>
      <c r="S19" s="116">
        <f>SUMIFS('8. Uitgaven betaalverzoek'!$V:$V,'8. Uitgaven betaalverzoek'!$E:$E,$A19,'8. Uitgaven betaalverzoek'!$F:$F,$B19,'8. Uitgaven betaalverzoek'!$A:$A,Keuze_DB_Nr_BEO)</f>
        <v>0</v>
      </c>
      <c r="T19" s="116" t="str">
        <f>IF($C19&lt;&gt;"",SUMIFS('8. Uitgaven betaalverzoek'!$W:$W,'8. Uitgaven betaalverzoek'!$E:$E,$A19,'8. Uitgaven betaalverzoek'!$F:$F,$B19,'8. Uitgaven betaalverzoek'!$A:$A,Keuze_DB_Nr_BEO),"")</f>
        <v/>
      </c>
      <c r="U19" s="116" t="str">
        <f>IF($C19&lt;&gt;"",SUMIFS('8. Uitgaven betaalverzoek'!$X:$X,'8. Uitgaven betaalverzoek'!$E:$E,$A19,'8. Uitgaven betaalverzoek'!$F:$F,$B19,'8. Uitgaven betaalverzoek'!$A:$A,Keuze_DB_Nr_BEO),"")</f>
        <v/>
      </c>
      <c r="V19" s="116">
        <f t="shared" si="2"/>
        <v>0</v>
      </c>
      <c r="W19" s="116">
        <f t="shared" si="3"/>
        <v>0</v>
      </c>
    </row>
    <row r="20" spans="1:23" x14ac:dyDescent="0.25">
      <c r="A20" s="78"/>
      <c r="B20" s="78"/>
      <c r="C20" s="105" t="str" cm="1">
        <f t="array" ref="C20">IFERROR(INDEX(Tb_KostenOpties[],MATCH(B20,Tb_KostenOptiesDB[KostenOptie],0),IFERROR(MATCH(Methode_Keuze,Tb_KostenOptiesDB[#Headers],0),2)),"")</f>
        <v/>
      </c>
      <c r="D20" s="117">
        <f>IFERROR(INDEX(Tb_ProjectKosten[],MATCH($B20,Tb_ProjectKosten[Begroting],0),6),0)</f>
        <v>0</v>
      </c>
      <c r="E20" s="115">
        <f>SUMIFS('8. Uitgaven betaalverzoek'!$U:$U,'8. Uitgaven betaalverzoek'!$E:$E,$A20,'8. Uitgaven betaalverzoek'!$F:$F,$B20)</f>
        <v>0</v>
      </c>
      <c r="F20" s="115">
        <f>SUMIFS('8. Uitgaven betaalverzoek'!$V:$V,'8. Uitgaven betaalverzoek'!$E:$E,$A20,'8. Uitgaven betaalverzoek'!$F:$F,$B20)</f>
        <v>0</v>
      </c>
      <c r="G20" s="115" t="str">
        <f>IF(C20&lt;&gt;"",SUMIFS('8. Uitgaven betaalverzoek'!$W:$W,'8. Uitgaven betaalverzoek'!$E:$E,$A20,'8. Uitgaven betaalverzoek'!$F:$F,$B20),"")</f>
        <v/>
      </c>
      <c r="H20" s="115" t="str">
        <f>IF(C20&lt;&gt;"",SUMIFS('8. Uitgaven betaalverzoek'!$X:$X,'8. Uitgaven betaalverzoek'!$E:$E,$A20,'8. Uitgaven betaalverzoek'!$F:$F,$B20),"")</f>
        <v/>
      </c>
      <c r="I20" s="117" t="str">
        <f>IFERROR(VLOOKUP(A20,Lijsten!$AD:$AE,2,0),"")</f>
        <v/>
      </c>
      <c r="J20" s="115">
        <f t="shared" si="4"/>
        <v>0</v>
      </c>
      <c r="K20" s="115">
        <f t="shared" si="1"/>
        <v>0</v>
      </c>
      <c r="L20" s="115">
        <f>SUMIFS('8. Uitgaven betaalverzoek'!$U:$U,'8. Uitgaven betaalverzoek'!$E:$E,$A20,'8. Uitgaven betaalverzoek'!$F:$F,$B20,'8. Uitgaven betaalverzoek'!$A:$A,Keuze_DB_Nr)</f>
        <v>0</v>
      </c>
      <c r="M20" s="115">
        <f>SUMIFS('8. Uitgaven betaalverzoek'!$V:$V,'8. Uitgaven betaalverzoek'!$E:$E,$A20,'8. Uitgaven betaalverzoek'!$F:$F,$B20,'8. Uitgaven betaalverzoek'!$A:$A,Keuze_DB_Nr)</f>
        <v>0</v>
      </c>
      <c r="N20" s="115" t="str">
        <f>IF($C20&lt;&gt;"",SUMIFS('8. Uitgaven betaalverzoek'!$W:$W,'8. Uitgaven betaalverzoek'!$E:$E,$A20,'8. Uitgaven betaalverzoek'!$F:$F,$B20,'8. Uitgaven betaalverzoek'!$A:$A,Keuze_DB_Nr),"")</f>
        <v/>
      </c>
      <c r="O20" s="115" t="str">
        <f>IF($C20&lt;&gt;"",SUMIFS('8. Uitgaven betaalverzoek'!$X:$X,'8. Uitgaven betaalverzoek'!$E:$E,$A20,'8. Uitgaven betaalverzoek'!$F:$F,$B20,'8. Uitgaven betaalverzoek'!$A:$A,Keuze_DB_Nr),"")</f>
        <v/>
      </c>
      <c r="P20" s="115">
        <f t="shared" si="5"/>
        <v>0</v>
      </c>
      <c r="Q20" s="115">
        <f t="shared" si="6"/>
        <v>0</v>
      </c>
      <c r="R20" s="115">
        <f>SUMIFS('8. Uitgaven betaalverzoek'!$U:$U,'8. Uitgaven betaalverzoek'!$E:$E,$A20,'8. Uitgaven betaalverzoek'!$F:$F,$B20,'8. Uitgaven betaalverzoek'!$A:$A,Keuze_DB_Nr_BEO)</f>
        <v>0</v>
      </c>
      <c r="S20" s="115">
        <f>SUMIFS('8. Uitgaven betaalverzoek'!$V:$V,'8. Uitgaven betaalverzoek'!$E:$E,$A20,'8. Uitgaven betaalverzoek'!$F:$F,$B20,'8. Uitgaven betaalverzoek'!$A:$A,Keuze_DB_Nr_BEO)</f>
        <v>0</v>
      </c>
      <c r="T20" s="115" t="str">
        <f>IF($C20&lt;&gt;"",SUMIFS('8. Uitgaven betaalverzoek'!$W:$W,'8. Uitgaven betaalverzoek'!$E:$E,$A20,'8. Uitgaven betaalverzoek'!$F:$F,$B20,'8. Uitgaven betaalverzoek'!$A:$A,Keuze_DB_Nr_BEO),"")</f>
        <v/>
      </c>
      <c r="U20" s="115" t="str">
        <f>IF($C20&lt;&gt;"",SUMIFS('8. Uitgaven betaalverzoek'!$X:$X,'8. Uitgaven betaalverzoek'!$E:$E,$A20,'8. Uitgaven betaalverzoek'!$F:$F,$B20,'8. Uitgaven betaalverzoek'!$A:$A,Keuze_DB_Nr_BEO),"")</f>
        <v/>
      </c>
      <c r="V20" s="115">
        <f t="shared" si="2"/>
        <v>0</v>
      </c>
      <c r="W20" s="115">
        <f t="shared" si="3"/>
        <v>0</v>
      </c>
    </row>
    <row r="21" spans="1:23" x14ac:dyDescent="0.25">
      <c r="A21" s="18"/>
      <c r="B21" s="18"/>
      <c r="C21" s="106" t="str" cm="1">
        <f t="array" ref="C21">IFERROR(INDEX(Tb_KostenOpties[],MATCH(B21,Tb_KostenOptiesDB[KostenOptie],0),IFERROR(MATCH(Methode_Keuze,Tb_KostenOptiesDB[#Headers],0),2)),"")</f>
        <v/>
      </c>
      <c r="D21" s="118">
        <f>IFERROR(INDEX(Tb_ProjectKosten[],MATCH($B21,Tb_ProjectKosten[Begroting],0),6),0)</f>
        <v>0</v>
      </c>
      <c r="E21" s="116">
        <f>SUMIFS('8. Uitgaven betaalverzoek'!$U:$U,'8. Uitgaven betaalverzoek'!$E:$E,$A21,'8. Uitgaven betaalverzoek'!$F:$F,$B21)</f>
        <v>0</v>
      </c>
      <c r="F21" s="116">
        <f>SUMIFS('8. Uitgaven betaalverzoek'!$V:$V,'8. Uitgaven betaalverzoek'!$E:$E,$A21,'8. Uitgaven betaalverzoek'!$F:$F,$B21)</f>
        <v>0</v>
      </c>
      <c r="G21" s="116" t="str">
        <f>IF(C21&lt;&gt;"",SUMIFS('8. Uitgaven betaalverzoek'!$W:$W,'8. Uitgaven betaalverzoek'!$E:$E,$A21,'8. Uitgaven betaalverzoek'!$F:$F,$B21),"")</f>
        <v/>
      </c>
      <c r="H21" s="116" t="str">
        <f>IF(C21&lt;&gt;"",SUMIFS('8. Uitgaven betaalverzoek'!$X:$X,'8. Uitgaven betaalverzoek'!$E:$E,$A21,'8. Uitgaven betaalverzoek'!$F:$F,$B21),"")</f>
        <v/>
      </c>
      <c r="I21" s="118" t="str">
        <f>IFERROR(VLOOKUP(A21,Lijsten!$AD:$AE,2,0),"")</f>
        <v/>
      </c>
      <c r="J21" s="116">
        <f t="shared" si="4"/>
        <v>0</v>
      </c>
      <c r="K21" s="116">
        <f t="shared" si="1"/>
        <v>0</v>
      </c>
      <c r="L21" s="116">
        <f>SUMIFS('8. Uitgaven betaalverzoek'!$U:$U,'8. Uitgaven betaalverzoek'!$E:$E,$A21,'8. Uitgaven betaalverzoek'!$F:$F,$B21,'8. Uitgaven betaalverzoek'!$A:$A,Keuze_DB_Nr)</f>
        <v>0</v>
      </c>
      <c r="M21" s="116">
        <f>SUMIFS('8. Uitgaven betaalverzoek'!$V:$V,'8. Uitgaven betaalverzoek'!$E:$E,$A21,'8. Uitgaven betaalverzoek'!$F:$F,$B21,'8. Uitgaven betaalverzoek'!$A:$A,Keuze_DB_Nr)</f>
        <v>0</v>
      </c>
      <c r="N21" s="116" t="str">
        <f>IF($C21&lt;&gt;"",SUMIFS('8. Uitgaven betaalverzoek'!$W:$W,'8. Uitgaven betaalverzoek'!$E:$E,$A21,'8. Uitgaven betaalverzoek'!$F:$F,$B21,'8. Uitgaven betaalverzoek'!$A:$A,Keuze_DB_Nr),"")</f>
        <v/>
      </c>
      <c r="O21" s="116" t="str">
        <f>IF($C21&lt;&gt;"",SUMIFS('8. Uitgaven betaalverzoek'!$X:$X,'8. Uitgaven betaalverzoek'!$E:$E,$A21,'8. Uitgaven betaalverzoek'!$F:$F,$B21,'8. Uitgaven betaalverzoek'!$A:$A,Keuze_DB_Nr),"")</f>
        <v/>
      </c>
      <c r="P21" s="116">
        <f t="shared" si="5"/>
        <v>0</v>
      </c>
      <c r="Q21" s="116">
        <f t="shared" si="6"/>
        <v>0</v>
      </c>
      <c r="R21" s="116">
        <f>SUMIFS('8. Uitgaven betaalverzoek'!$U:$U,'8. Uitgaven betaalverzoek'!$E:$E,$A21,'8. Uitgaven betaalverzoek'!$F:$F,$B21,'8. Uitgaven betaalverzoek'!$A:$A,Keuze_DB_Nr_BEO)</f>
        <v>0</v>
      </c>
      <c r="S21" s="116">
        <f>SUMIFS('8. Uitgaven betaalverzoek'!$V:$V,'8. Uitgaven betaalverzoek'!$E:$E,$A21,'8. Uitgaven betaalverzoek'!$F:$F,$B21,'8. Uitgaven betaalverzoek'!$A:$A,Keuze_DB_Nr_BEO)</f>
        <v>0</v>
      </c>
      <c r="T21" s="116" t="str">
        <f>IF($C21&lt;&gt;"",SUMIFS('8. Uitgaven betaalverzoek'!$W:$W,'8. Uitgaven betaalverzoek'!$E:$E,$A21,'8. Uitgaven betaalverzoek'!$F:$F,$B21,'8. Uitgaven betaalverzoek'!$A:$A,Keuze_DB_Nr_BEO),"")</f>
        <v/>
      </c>
      <c r="U21" s="116" t="str">
        <f>IF($C21&lt;&gt;"",SUMIFS('8. Uitgaven betaalverzoek'!$X:$X,'8. Uitgaven betaalverzoek'!$E:$E,$A21,'8. Uitgaven betaalverzoek'!$F:$F,$B21,'8. Uitgaven betaalverzoek'!$A:$A,Keuze_DB_Nr_BEO),"")</f>
        <v/>
      </c>
      <c r="V21" s="116">
        <f t="shared" si="2"/>
        <v>0</v>
      </c>
      <c r="W21" s="116">
        <f t="shared" si="3"/>
        <v>0</v>
      </c>
    </row>
    <row r="22" spans="1:23" x14ac:dyDescent="0.25">
      <c r="A22" s="78"/>
      <c r="B22" s="78"/>
      <c r="C22" s="105" t="str" cm="1">
        <f t="array" ref="C22">IFERROR(INDEX(Tb_KostenOpties[],MATCH(B22,Tb_KostenOptiesDB[KostenOptie],0),IFERROR(MATCH(Methode_Keuze,Tb_KostenOptiesDB[#Headers],0),2)),"")</f>
        <v/>
      </c>
      <c r="D22" s="117">
        <f>IFERROR(INDEX(Tb_ProjectKosten[],MATCH($B22,Tb_ProjectKosten[Begroting],0),6),0)</f>
        <v>0</v>
      </c>
      <c r="E22" s="115">
        <f>SUMIFS('8. Uitgaven betaalverzoek'!$U:$U,'8. Uitgaven betaalverzoek'!$E:$E,$A22,'8. Uitgaven betaalverzoek'!$F:$F,$B22)</f>
        <v>0</v>
      </c>
      <c r="F22" s="115">
        <f>SUMIFS('8. Uitgaven betaalverzoek'!$V:$V,'8. Uitgaven betaalverzoek'!$E:$E,$A22,'8. Uitgaven betaalverzoek'!$F:$F,$B22)</f>
        <v>0</v>
      </c>
      <c r="G22" s="115" t="str">
        <f>IF(C22&lt;&gt;"",SUMIFS('8. Uitgaven betaalverzoek'!$W:$W,'8. Uitgaven betaalverzoek'!$E:$E,$A22,'8. Uitgaven betaalverzoek'!$F:$F,$B22),"")</f>
        <v/>
      </c>
      <c r="H22" s="115" t="str">
        <f>IF(C22&lt;&gt;"",SUMIFS('8. Uitgaven betaalverzoek'!$X:$X,'8. Uitgaven betaalverzoek'!$E:$E,$A22,'8. Uitgaven betaalverzoek'!$F:$F,$B22),"")</f>
        <v/>
      </c>
      <c r="I22" s="117" t="str">
        <f>IFERROR(VLOOKUP(A22,Lijsten!$AD:$AE,2,0),"")</f>
        <v/>
      </c>
      <c r="J22" s="115">
        <f t="shared" si="4"/>
        <v>0</v>
      </c>
      <c r="K22" s="115">
        <f t="shared" si="1"/>
        <v>0</v>
      </c>
      <c r="L22" s="115">
        <f>SUMIFS('8. Uitgaven betaalverzoek'!$U:$U,'8. Uitgaven betaalverzoek'!$E:$E,$A22,'8. Uitgaven betaalverzoek'!$F:$F,$B22,'8. Uitgaven betaalverzoek'!$A:$A,Keuze_DB_Nr)</f>
        <v>0</v>
      </c>
      <c r="M22" s="115">
        <f>SUMIFS('8. Uitgaven betaalverzoek'!$V:$V,'8. Uitgaven betaalverzoek'!$E:$E,$A22,'8. Uitgaven betaalverzoek'!$F:$F,$B22,'8. Uitgaven betaalverzoek'!$A:$A,Keuze_DB_Nr)</f>
        <v>0</v>
      </c>
      <c r="N22" s="115" t="str">
        <f>IF($C22&lt;&gt;"",SUMIFS('8. Uitgaven betaalverzoek'!$W:$W,'8. Uitgaven betaalverzoek'!$E:$E,$A22,'8. Uitgaven betaalverzoek'!$F:$F,$B22,'8. Uitgaven betaalverzoek'!$A:$A,Keuze_DB_Nr),"")</f>
        <v/>
      </c>
      <c r="O22" s="115" t="str">
        <f>IF($C22&lt;&gt;"",SUMIFS('8. Uitgaven betaalverzoek'!$X:$X,'8. Uitgaven betaalverzoek'!$E:$E,$A22,'8. Uitgaven betaalverzoek'!$F:$F,$B22,'8. Uitgaven betaalverzoek'!$A:$A,Keuze_DB_Nr),"")</f>
        <v/>
      </c>
      <c r="P22" s="115">
        <f t="shared" si="5"/>
        <v>0</v>
      </c>
      <c r="Q22" s="115">
        <f t="shared" si="6"/>
        <v>0</v>
      </c>
      <c r="R22" s="115">
        <f>SUMIFS('8. Uitgaven betaalverzoek'!$U:$U,'8. Uitgaven betaalverzoek'!$E:$E,$A22,'8. Uitgaven betaalverzoek'!$F:$F,$B22,'8. Uitgaven betaalverzoek'!$A:$A,Keuze_DB_Nr_BEO)</f>
        <v>0</v>
      </c>
      <c r="S22" s="115">
        <f>SUMIFS('8. Uitgaven betaalverzoek'!$V:$V,'8. Uitgaven betaalverzoek'!$E:$E,$A22,'8. Uitgaven betaalverzoek'!$F:$F,$B22,'8. Uitgaven betaalverzoek'!$A:$A,Keuze_DB_Nr_BEO)</f>
        <v>0</v>
      </c>
      <c r="T22" s="115" t="str">
        <f>IF($C22&lt;&gt;"",SUMIFS('8. Uitgaven betaalverzoek'!$W:$W,'8. Uitgaven betaalverzoek'!$E:$E,$A22,'8. Uitgaven betaalverzoek'!$F:$F,$B22,'8. Uitgaven betaalverzoek'!$A:$A,Keuze_DB_Nr_BEO),"")</f>
        <v/>
      </c>
      <c r="U22" s="115" t="str">
        <f>IF($C22&lt;&gt;"",SUMIFS('8. Uitgaven betaalverzoek'!$X:$X,'8. Uitgaven betaalverzoek'!$E:$E,$A22,'8. Uitgaven betaalverzoek'!$F:$F,$B22,'8. Uitgaven betaalverzoek'!$A:$A,Keuze_DB_Nr_BEO),"")</f>
        <v/>
      </c>
      <c r="V22" s="115">
        <f t="shared" si="2"/>
        <v>0</v>
      </c>
      <c r="W22" s="115">
        <f t="shared" si="3"/>
        <v>0</v>
      </c>
    </row>
    <row r="23" spans="1:23" x14ac:dyDescent="0.25">
      <c r="A23" s="18"/>
      <c r="B23" s="18"/>
      <c r="C23" s="106" t="str" cm="1">
        <f t="array" ref="C23">IFERROR(INDEX(Tb_KostenOpties[],MATCH(B23,Tb_KostenOptiesDB[KostenOptie],0),IFERROR(MATCH(Methode_Keuze,Tb_KostenOptiesDB[#Headers],0),2)),"")</f>
        <v/>
      </c>
      <c r="D23" s="118">
        <f>IFERROR(INDEX(Tb_ProjectKosten[],MATCH($B23,Tb_ProjectKosten[Begroting],0),6),0)</f>
        <v>0</v>
      </c>
      <c r="E23" s="116">
        <f>SUMIFS('8. Uitgaven betaalverzoek'!$U:$U,'8. Uitgaven betaalverzoek'!$E:$E,$A23,'8. Uitgaven betaalverzoek'!$F:$F,$B23)</f>
        <v>0</v>
      </c>
      <c r="F23" s="116">
        <f>SUMIFS('8. Uitgaven betaalverzoek'!$V:$V,'8. Uitgaven betaalverzoek'!$E:$E,$A23,'8. Uitgaven betaalverzoek'!$F:$F,$B23)</f>
        <v>0</v>
      </c>
      <c r="G23" s="116" t="str">
        <f>IF(C23&lt;&gt;"",SUMIFS('8. Uitgaven betaalverzoek'!$W:$W,'8. Uitgaven betaalverzoek'!$E:$E,$A23,'8. Uitgaven betaalverzoek'!$F:$F,$B23),"")</f>
        <v/>
      </c>
      <c r="H23" s="116" t="str">
        <f>IF(C23&lt;&gt;"",SUMIFS('8. Uitgaven betaalverzoek'!$X:$X,'8. Uitgaven betaalverzoek'!$E:$E,$A23,'8. Uitgaven betaalverzoek'!$F:$F,$B23),"")</f>
        <v/>
      </c>
      <c r="I23" s="118" t="str">
        <f>IFERROR(VLOOKUP(A23,Lijsten!$AD:$AE,2,0),"")</f>
        <v/>
      </c>
      <c r="J23" s="116">
        <f t="shared" si="4"/>
        <v>0</v>
      </c>
      <c r="K23" s="116">
        <f t="shared" si="1"/>
        <v>0</v>
      </c>
      <c r="L23" s="116">
        <f>SUMIFS('8. Uitgaven betaalverzoek'!$U:$U,'8. Uitgaven betaalverzoek'!$E:$E,$A23,'8. Uitgaven betaalverzoek'!$F:$F,$B23,'8. Uitgaven betaalverzoek'!$A:$A,Keuze_DB_Nr)</f>
        <v>0</v>
      </c>
      <c r="M23" s="116">
        <f>SUMIFS('8. Uitgaven betaalverzoek'!$V:$V,'8. Uitgaven betaalverzoek'!$E:$E,$A23,'8. Uitgaven betaalverzoek'!$F:$F,$B23,'8. Uitgaven betaalverzoek'!$A:$A,Keuze_DB_Nr)</f>
        <v>0</v>
      </c>
      <c r="N23" s="116" t="str">
        <f>IF($C23&lt;&gt;"",SUMIFS('8. Uitgaven betaalverzoek'!$W:$W,'8. Uitgaven betaalverzoek'!$E:$E,$A23,'8. Uitgaven betaalverzoek'!$F:$F,$B23,'8. Uitgaven betaalverzoek'!$A:$A,Keuze_DB_Nr),"")</f>
        <v/>
      </c>
      <c r="O23" s="116" t="str">
        <f>IF($C23&lt;&gt;"",SUMIFS('8. Uitgaven betaalverzoek'!$X:$X,'8. Uitgaven betaalverzoek'!$E:$E,$A23,'8. Uitgaven betaalverzoek'!$F:$F,$B23,'8. Uitgaven betaalverzoek'!$A:$A,Keuze_DB_Nr),"")</f>
        <v/>
      </c>
      <c r="P23" s="116">
        <f t="shared" si="5"/>
        <v>0</v>
      </c>
      <c r="Q23" s="116">
        <f t="shared" si="6"/>
        <v>0</v>
      </c>
      <c r="R23" s="116">
        <f>SUMIFS('8. Uitgaven betaalverzoek'!$U:$U,'8. Uitgaven betaalverzoek'!$E:$E,$A23,'8. Uitgaven betaalverzoek'!$F:$F,$B23,'8. Uitgaven betaalverzoek'!$A:$A,Keuze_DB_Nr_BEO)</f>
        <v>0</v>
      </c>
      <c r="S23" s="116">
        <f>SUMIFS('8. Uitgaven betaalverzoek'!$V:$V,'8. Uitgaven betaalverzoek'!$E:$E,$A23,'8. Uitgaven betaalverzoek'!$F:$F,$B23,'8. Uitgaven betaalverzoek'!$A:$A,Keuze_DB_Nr_BEO)</f>
        <v>0</v>
      </c>
      <c r="T23" s="116" t="str">
        <f>IF($C23&lt;&gt;"",SUMIFS('8. Uitgaven betaalverzoek'!$W:$W,'8. Uitgaven betaalverzoek'!$E:$E,$A23,'8. Uitgaven betaalverzoek'!$F:$F,$B23,'8. Uitgaven betaalverzoek'!$A:$A,Keuze_DB_Nr_BEO),"")</f>
        <v/>
      </c>
      <c r="U23" s="116" t="str">
        <f>IF($C23&lt;&gt;"",SUMIFS('8. Uitgaven betaalverzoek'!$X:$X,'8. Uitgaven betaalverzoek'!$E:$E,$A23,'8. Uitgaven betaalverzoek'!$F:$F,$B23,'8. Uitgaven betaalverzoek'!$A:$A,Keuze_DB_Nr_BEO),"")</f>
        <v/>
      </c>
      <c r="V23" s="116">
        <f t="shared" si="2"/>
        <v>0</v>
      </c>
      <c r="W23" s="116">
        <f t="shared" si="3"/>
        <v>0</v>
      </c>
    </row>
    <row r="24" spans="1:23" x14ac:dyDescent="0.25">
      <c r="A24" s="78"/>
      <c r="B24" s="78"/>
      <c r="C24" s="105" t="str" cm="1">
        <f t="array" ref="C24">IFERROR(INDEX(Tb_KostenOpties[],MATCH(B24,Tb_KostenOptiesDB[KostenOptie],0),IFERROR(MATCH(Methode_Keuze,Tb_KostenOptiesDB[#Headers],0),2)),"")</f>
        <v/>
      </c>
      <c r="D24" s="117">
        <f>IFERROR(INDEX(Tb_ProjectKosten[],MATCH($B24,Tb_ProjectKosten[Begroting],0),6),0)</f>
        <v>0</v>
      </c>
      <c r="E24" s="115">
        <f>SUMIFS('8. Uitgaven betaalverzoek'!$U:$U,'8. Uitgaven betaalverzoek'!$E:$E,$A24,'8. Uitgaven betaalverzoek'!$F:$F,$B24)</f>
        <v>0</v>
      </c>
      <c r="F24" s="115">
        <f>SUMIFS('8. Uitgaven betaalverzoek'!$V:$V,'8. Uitgaven betaalverzoek'!$E:$E,$A24,'8. Uitgaven betaalverzoek'!$F:$F,$B24)</f>
        <v>0</v>
      </c>
      <c r="G24" s="115" t="str">
        <f>IF(C24&lt;&gt;"",SUMIFS('8. Uitgaven betaalverzoek'!$W:$W,'8. Uitgaven betaalverzoek'!$E:$E,$A24,'8. Uitgaven betaalverzoek'!$F:$F,$B24),"")</f>
        <v/>
      </c>
      <c r="H24" s="115" t="str">
        <f>IF(C24&lt;&gt;"",SUMIFS('8. Uitgaven betaalverzoek'!$X:$X,'8. Uitgaven betaalverzoek'!$E:$E,$A24,'8. Uitgaven betaalverzoek'!$F:$F,$B24),"")</f>
        <v/>
      </c>
      <c r="I24" s="117" t="str">
        <f>IFERROR(VLOOKUP(A24,Lijsten!$AD:$AE,2,0),"")</f>
        <v/>
      </c>
      <c r="J24" s="115">
        <f t="shared" si="4"/>
        <v>0</v>
      </c>
      <c r="K24" s="115">
        <f t="shared" si="1"/>
        <v>0</v>
      </c>
      <c r="L24" s="115">
        <f>SUMIFS('8. Uitgaven betaalverzoek'!$U:$U,'8. Uitgaven betaalverzoek'!$E:$E,$A24,'8. Uitgaven betaalverzoek'!$F:$F,$B24,'8. Uitgaven betaalverzoek'!$A:$A,Keuze_DB_Nr)</f>
        <v>0</v>
      </c>
      <c r="M24" s="115">
        <f>SUMIFS('8. Uitgaven betaalverzoek'!$V:$V,'8. Uitgaven betaalverzoek'!$E:$E,$A24,'8. Uitgaven betaalverzoek'!$F:$F,$B24,'8. Uitgaven betaalverzoek'!$A:$A,Keuze_DB_Nr)</f>
        <v>0</v>
      </c>
      <c r="N24" s="115" t="str">
        <f>IF($C24&lt;&gt;"",SUMIFS('8. Uitgaven betaalverzoek'!$W:$W,'8. Uitgaven betaalverzoek'!$E:$E,$A24,'8. Uitgaven betaalverzoek'!$F:$F,$B24,'8. Uitgaven betaalverzoek'!$A:$A,Keuze_DB_Nr),"")</f>
        <v/>
      </c>
      <c r="O24" s="115" t="str">
        <f>IF($C24&lt;&gt;"",SUMIFS('8. Uitgaven betaalverzoek'!$X:$X,'8. Uitgaven betaalverzoek'!$E:$E,$A24,'8. Uitgaven betaalverzoek'!$F:$F,$B24,'8. Uitgaven betaalverzoek'!$A:$A,Keuze_DB_Nr),"")</f>
        <v/>
      </c>
      <c r="P24" s="115">
        <f t="shared" si="5"/>
        <v>0</v>
      </c>
      <c r="Q24" s="115">
        <f t="shared" si="6"/>
        <v>0</v>
      </c>
      <c r="R24" s="115">
        <f>SUMIFS('8. Uitgaven betaalverzoek'!$U:$U,'8. Uitgaven betaalverzoek'!$E:$E,$A24,'8. Uitgaven betaalverzoek'!$F:$F,$B24,'8. Uitgaven betaalverzoek'!$A:$A,Keuze_DB_Nr_BEO)</f>
        <v>0</v>
      </c>
      <c r="S24" s="115">
        <f>SUMIFS('8. Uitgaven betaalverzoek'!$V:$V,'8. Uitgaven betaalverzoek'!$E:$E,$A24,'8. Uitgaven betaalverzoek'!$F:$F,$B24,'8. Uitgaven betaalverzoek'!$A:$A,Keuze_DB_Nr_BEO)</f>
        <v>0</v>
      </c>
      <c r="T24" s="115" t="str">
        <f>IF($C24&lt;&gt;"",SUMIFS('8. Uitgaven betaalverzoek'!$W:$W,'8. Uitgaven betaalverzoek'!$E:$E,$A24,'8. Uitgaven betaalverzoek'!$F:$F,$B24,'8. Uitgaven betaalverzoek'!$A:$A,Keuze_DB_Nr_BEO),"")</f>
        <v/>
      </c>
      <c r="U24" s="115" t="str">
        <f>IF($C24&lt;&gt;"",SUMIFS('8. Uitgaven betaalverzoek'!$X:$X,'8. Uitgaven betaalverzoek'!$E:$E,$A24,'8. Uitgaven betaalverzoek'!$F:$F,$B24,'8. Uitgaven betaalverzoek'!$A:$A,Keuze_DB_Nr_BEO),"")</f>
        <v/>
      </c>
      <c r="V24" s="115">
        <f t="shared" si="2"/>
        <v>0</v>
      </c>
      <c r="W24" s="115">
        <f t="shared" si="3"/>
        <v>0</v>
      </c>
    </row>
    <row r="25" spans="1:23" x14ac:dyDescent="0.25">
      <c r="A25" s="18"/>
      <c r="B25" s="18"/>
      <c r="C25" s="106" t="str" cm="1">
        <f t="array" ref="C25">IFERROR(INDEX(Tb_KostenOpties[],MATCH(B25,Tb_KostenOptiesDB[KostenOptie],0),IFERROR(MATCH(Methode_Keuze,Tb_KostenOptiesDB[#Headers],0),2)),"")</f>
        <v/>
      </c>
      <c r="D25" s="118">
        <f>IFERROR(INDEX(Tb_ProjectKosten[],MATCH($B25,Tb_ProjectKosten[Begroting],0),6),0)</f>
        <v>0</v>
      </c>
      <c r="E25" s="116">
        <f>SUMIFS('8. Uitgaven betaalverzoek'!$U:$U,'8. Uitgaven betaalverzoek'!$E:$E,$A25,'8. Uitgaven betaalverzoek'!$F:$F,$B25)</f>
        <v>0</v>
      </c>
      <c r="F25" s="116">
        <f>SUMIFS('8. Uitgaven betaalverzoek'!$V:$V,'8. Uitgaven betaalverzoek'!$E:$E,$A25,'8. Uitgaven betaalverzoek'!$F:$F,$B25)</f>
        <v>0</v>
      </c>
      <c r="G25" s="116" t="str">
        <f>IF(C25&lt;&gt;"",SUMIFS('8. Uitgaven betaalverzoek'!$W:$W,'8. Uitgaven betaalverzoek'!$E:$E,$A25,'8. Uitgaven betaalverzoek'!$F:$F,$B25),"")</f>
        <v/>
      </c>
      <c r="H25" s="116" t="str">
        <f>IF(C25&lt;&gt;"",SUMIFS('8. Uitgaven betaalverzoek'!$X:$X,'8. Uitgaven betaalverzoek'!$E:$E,$A25,'8. Uitgaven betaalverzoek'!$F:$F,$B25),"")</f>
        <v/>
      </c>
      <c r="I25" s="118" t="str">
        <f>IFERROR(VLOOKUP(A25,Lijsten!$AD:$AE,2,0),"")</f>
        <v/>
      </c>
      <c r="J25" s="116">
        <f t="shared" si="4"/>
        <v>0</v>
      </c>
      <c r="K25" s="116">
        <f t="shared" si="1"/>
        <v>0</v>
      </c>
      <c r="L25" s="116">
        <f>SUMIFS('8. Uitgaven betaalverzoek'!$U:$U,'8. Uitgaven betaalverzoek'!$E:$E,$A25,'8. Uitgaven betaalverzoek'!$F:$F,$B25,'8. Uitgaven betaalverzoek'!$A:$A,Keuze_DB_Nr)</f>
        <v>0</v>
      </c>
      <c r="M25" s="116">
        <f>SUMIFS('8. Uitgaven betaalverzoek'!$V:$V,'8. Uitgaven betaalverzoek'!$E:$E,$A25,'8. Uitgaven betaalverzoek'!$F:$F,$B25,'8. Uitgaven betaalverzoek'!$A:$A,Keuze_DB_Nr)</f>
        <v>0</v>
      </c>
      <c r="N25" s="116" t="str">
        <f>IF($C25&lt;&gt;"",SUMIFS('8. Uitgaven betaalverzoek'!$W:$W,'8. Uitgaven betaalverzoek'!$E:$E,$A25,'8. Uitgaven betaalverzoek'!$F:$F,$B25,'8. Uitgaven betaalverzoek'!$A:$A,Keuze_DB_Nr),"")</f>
        <v/>
      </c>
      <c r="O25" s="116" t="str">
        <f>IF($C25&lt;&gt;"",SUMIFS('8. Uitgaven betaalverzoek'!$X:$X,'8. Uitgaven betaalverzoek'!$E:$E,$A25,'8. Uitgaven betaalverzoek'!$F:$F,$B25,'8. Uitgaven betaalverzoek'!$A:$A,Keuze_DB_Nr),"")</f>
        <v/>
      </c>
      <c r="P25" s="116">
        <f t="shared" si="5"/>
        <v>0</v>
      </c>
      <c r="Q25" s="116">
        <f t="shared" si="6"/>
        <v>0</v>
      </c>
      <c r="R25" s="116">
        <f>SUMIFS('8. Uitgaven betaalverzoek'!$U:$U,'8. Uitgaven betaalverzoek'!$E:$E,$A25,'8. Uitgaven betaalverzoek'!$F:$F,$B25,'8. Uitgaven betaalverzoek'!$A:$A,Keuze_DB_Nr_BEO)</f>
        <v>0</v>
      </c>
      <c r="S25" s="116">
        <f>SUMIFS('8. Uitgaven betaalverzoek'!$V:$V,'8. Uitgaven betaalverzoek'!$E:$E,$A25,'8. Uitgaven betaalverzoek'!$F:$F,$B25,'8. Uitgaven betaalverzoek'!$A:$A,Keuze_DB_Nr_BEO)</f>
        <v>0</v>
      </c>
      <c r="T25" s="116" t="str">
        <f>IF($C25&lt;&gt;"",SUMIFS('8. Uitgaven betaalverzoek'!$W:$W,'8. Uitgaven betaalverzoek'!$E:$E,$A25,'8. Uitgaven betaalverzoek'!$F:$F,$B25,'8. Uitgaven betaalverzoek'!$A:$A,Keuze_DB_Nr_BEO),"")</f>
        <v/>
      </c>
      <c r="U25" s="116" t="str">
        <f>IF($C25&lt;&gt;"",SUMIFS('8. Uitgaven betaalverzoek'!$X:$X,'8. Uitgaven betaalverzoek'!$E:$E,$A25,'8. Uitgaven betaalverzoek'!$F:$F,$B25,'8. Uitgaven betaalverzoek'!$A:$A,Keuze_DB_Nr_BEO),"")</f>
        <v/>
      </c>
      <c r="V25" s="116">
        <f t="shared" si="2"/>
        <v>0</v>
      </c>
      <c r="W25" s="116">
        <f t="shared" si="3"/>
        <v>0</v>
      </c>
    </row>
    <row r="26" spans="1:23" x14ac:dyDescent="0.25">
      <c r="A26" s="78"/>
      <c r="B26" s="78"/>
      <c r="C26" s="105" t="str" cm="1">
        <f t="array" ref="C26">IFERROR(INDEX(Tb_KostenOpties[],MATCH(B26,Tb_KostenOptiesDB[KostenOptie],0),IFERROR(MATCH(Methode_Keuze,Tb_KostenOptiesDB[#Headers],0),2)),"")</f>
        <v/>
      </c>
      <c r="D26" s="117">
        <f>IFERROR(INDEX(Tb_ProjectKosten[],MATCH($B26,Tb_ProjectKosten[Begroting],0),6),0)</f>
        <v>0</v>
      </c>
      <c r="E26" s="115">
        <f>SUMIFS('8. Uitgaven betaalverzoek'!$U:$U,'8. Uitgaven betaalverzoek'!$E:$E,$A26,'8. Uitgaven betaalverzoek'!$F:$F,$B26)</f>
        <v>0</v>
      </c>
      <c r="F26" s="115">
        <f>SUMIFS('8. Uitgaven betaalverzoek'!$V:$V,'8. Uitgaven betaalverzoek'!$E:$E,$A26,'8. Uitgaven betaalverzoek'!$F:$F,$B26)</f>
        <v>0</v>
      </c>
      <c r="G26" s="115" t="str">
        <f>IF(C26&lt;&gt;"",SUMIFS('8. Uitgaven betaalverzoek'!$W:$W,'8. Uitgaven betaalverzoek'!$E:$E,$A26,'8. Uitgaven betaalverzoek'!$F:$F,$B26),"")</f>
        <v/>
      </c>
      <c r="H26" s="115" t="str">
        <f>IF(C26&lt;&gt;"",SUMIFS('8. Uitgaven betaalverzoek'!$X:$X,'8. Uitgaven betaalverzoek'!$E:$E,$A26,'8. Uitgaven betaalverzoek'!$F:$F,$B26),"")</f>
        <v/>
      </c>
      <c r="I26" s="117" t="str">
        <f>IFERROR(VLOOKUP(A26,Lijsten!$AD:$AE,2,0),"")</f>
        <v/>
      </c>
      <c r="J26" s="115">
        <f t="shared" si="4"/>
        <v>0</v>
      </c>
      <c r="K26" s="115">
        <f t="shared" si="1"/>
        <v>0</v>
      </c>
      <c r="L26" s="115">
        <f>SUMIFS('8. Uitgaven betaalverzoek'!$U:$U,'8. Uitgaven betaalverzoek'!$E:$E,$A26,'8. Uitgaven betaalverzoek'!$F:$F,$B26,'8. Uitgaven betaalverzoek'!$A:$A,Keuze_DB_Nr)</f>
        <v>0</v>
      </c>
      <c r="M26" s="115">
        <f>SUMIFS('8. Uitgaven betaalverzoek'!$V:$V,'8. Uitgaven betaalverzoek'!$E:$E,$A26,'8. Uitgaven betaalverzoek'!$F:$F,$B26,'8. Uitgaven betaalverzoek'!$A:$A,Keuze_DB_Nr)</f>
        <v>0</v>
      </c>
      <c r="N26" s="115" t="str">
        <f>IF($C26&lt;&gt;"",SUMIFS('8. Uitgaven betaalverzoek'!$W:$W,'8. Uitgaven betaalverzoek'!$E:$E,$A26,'8. Uitgaven betaalverzoek'!$F:$F,$B26,'8. Uitgaven betaalverzoek'!$A:$A,Keuze_DB_Nr),"")</f>
        <v/>
      </c>
      <c r="O26" s="115" t="str">
        <f>IF($C26&lt;&gt;"",SUMIFS('8. Uitgaven betaalverzoek'!$X:$X,'8. Uitgaven betaalverzoek'!$E:$E,$A26,'8. Uitgaven betaalverzoek'!$F:$F,$B26,'8. Uitgaven betaalverzoek'!$A:$A,Keuze_DB_Nr),"")</f>
        <v/>
      </c>
      <c r="P26" s="115">
        <f t="shared" si="5"/>
        <v>0</v>
      </c>
      <c r="Q26" s="115">
        <f t="shared" si="6"/>
        <v>0</v>
      </c>
      <c r="R26" s="115">
        <f>SUMIFS('8. Uitgaven betaalverzoek'!$U:$U,'8. Uitgaven betaalverzoek'!$E:$E,$A26,'8. Uitgaven betaalverzoek'!$F:$F,$B26,'8. Uitgaven betaalverzoek'!$A:$A,Keuze_DB_Nr_BEO)</f>
        <v>0</v>
      </c>
      <c r="S26" s="115">
        <f>SUMIFS('8. Uitgaven betaalverzoek'!$V:$V,'8. Uitgaven betaalverzoek'!$E:$E,$A26,'8. Uitgaven betaalverzoek'!$F:$F,$B26,'8. Uitgaven betaalverzoek'!$A:$A,Keuze_DB_Nr_BEO)</f>
        <v>0</v>
      </c>
      <c r="T26" s="115" t="str">
        <f>IF($C26&lt;&gt;"",SUMIFS('8. Uitgaven betaalverzoek'!$W:$W,'8. Uitgaven betaalverzoek'!$E:$E,$A26,'8. Uitgaven betaalverzoek'!$F:$F,$B26,'8. Uitgaven betaalverzoek'!$A:$A,Keuze_DB_Nr_BEO),"")</f>
        <v/>
      </c>
      <c r="U26" s="115" t="str">
        <f>IF($C26&lt;&gt;"",SUMIFS('8. Uitgaven betaalverzoek'!$X:$X,'8. Uitgaven betaalverzoek'!$E:$E,$A26,'8. Uitgaven betaalverzoek'!$F:$F,$B26,'8. Uitgaven betaalverzoek'!$A:$A,Keuze_DB_Nr_BEO),"")</f>
        <v/>
      </c>
      <c r="V26" s="115">
        <f t="shared" si="2"/>
        <v>0</v>
      </c>
      <c r="W26" s="115">
        <f t="shared" si="3"/>
        <v>0</v>
      </c>
    </row>
    <row r="27" spans="1:23" x14ac:dyDescent="0.25">
      <c r="A27" s="18"/>
      <c r="B27" s="18"/>
      <c r="C27" s="106" t="str" cm="1">
        <f t="array" ref="C27">IFERROR(INDEX(Tb_KostenOpties[],MATCH(B27,Tb_KostenOptiesDB[KostenOptie],0),IFERROR(MATCH(Methode_Keuze,Tb_KostenOptiesDB[#Headers],0),2)),"")</f>
        <v/>
      </c>
      <c r="D27" s="118">
        <f>IFERROR(INDEX(Tb_ProjectKosten[],MATCH($B27,Tb_ProjectKosten[Begroting],0),6),0)</f>
        <v>0</v>
      </c>
      <c r="E27" s="116">
        <f>SUMIFS('8. Uitgaven betaalverzoek'!$U:$U,'8. Uitgaven betaalverzoek'!$E:$E,$A27,'8. Uitgaven betaalverzoek'!$F:$F,$B27)</f>
        <v>0</v>
      </c>
      <c r="F27" s="116">
        <f>SUMIFS('8. Uitgaven betaalverzoek'!$V:$V,'8. Uitgaven betaalverzoek'!$E:$E,$A27,'8. Uitgaven betaalverzoek'!$F:$F,$B27)</f>
        <v>0</v>
      </c>
      <c r="G27" s="116" t="str">
        <f>IF(C27&lt;&gt;"",SUMIFS('8. Uitgaven betaalverzoek'!$W:$W,'8. Uitgaven betaalverzoek'!$E:$E,$A27,'8. Uitgaven betaalverzoek'!$F:$F,$B27),"")</f>
        <v/>
      </c>
      <c r="H27" s="116" t="str">
        <f>IF(C27&lt;&gt;"",SUMIFS('8. Uitgaven betaalverzoek'!$X:$X,'8. Uitgaven betaalverzoek'!$E:$E,$A27,'8. Uitgaven betaalverzoek'!$F:$F,$B27),"")</f>
        <v/>
      </c>
      <c r="I27" s="118" t="str">
        <f>IFERROR(VLOOKUP(A27,Lijsten!$AD:$AE,2,0),"")</f>
        <v/>
      </c>
      <c r="J27" s="116">
        <f t="shared" si="4"/>
        <v>0</v>
      </c>
      <c r="K27" s="116">
        <f t="shared" si="1"/>
        <v>0</v>
      </c>
      <c r="L27" s="116">
        <f>SUMIFS('8. Uitgaven betaalverzoek'!$U:$U,'8. Uitgaven betaalverzoek'!$E:$E,$A27,'8. Uitgaven betaalverzoek'!$F:$F,$B27,'8. Uitgaven betaalverzoek'!$A:$A,Keuze_DB_Nr)</f>
        <v>0</v>
      </c>
      <c r="M27" s="116">
        <f>SUMIFS('8. Uitgaven betaalverzoek'!$V:$V,'8. Uitgaven betaalverzoek'!$E:$E,$A27,'8. Uitgaven betaalverzoek'!$F:$F,$B27,'8. Uitgaven betaalverzoek'!$A:$A,Keuze_DB_Nr)</f>
        <v>0</v>
      </c>
      <c r="N27" s="116" t="str">
        <f>IF($C27&lt;&gt;"",SUMIFS('8. Uitgaven betaalverzoek'!$W:$W,'8. Uitgaven betaalverzoek'!$E:$E,$A27,'8. Uitgaven betaalverzoek'!$F:$F,$B27,'8. Uitgaven betaalverzoek'!$A:$A,Keuze_DB_Nr),"")</f>
        <v/>
      </c>
      <c r="O27" s="116" t="str">
        <f>IF($C27&lt;&gt;"",SUMIFS('8. Uitgaven betaalverzoek'!$X:$X,'8. Uitgaven betaalverzoek'!$E:$E,$A27,'8. Uitgaven betaalverzoek'!$F:$F,$B27,'8. Uitgaven betaalverzoek'!$A:$A,Keuze_DB_Nr),"")</f>
        <v/>
      </c>
      <c r="P27" s="116">
        <f t="shared" si="5"/>
        <v>0</v>
      </c>
      <c r="Q27" s="116">
        <f t="shared" si="6"/>
        <v>0</v>
      </c>
      <c r="R27" s="116">
        <f>SUMIFS('8. Uitgaven betaalverzoek'!$U:$U,'8. Uitgaven betaalverzoek'!$E:$E,$A27,'8. Uitgaven betaalverzoek'!$F:$F,$B27,'8. Uitgaven betaalverzoek'!$A:$A,Keuze_DB_Nr_BEO)</f>
        <v>0</v>
      </c>
      <c r="S27" s="116">
        <f>SUMIFS('8. Uitgaven betaalverzoek'!$V:$V,'8. Uitgaven betaalverzoek'!$E:$E,$A27,'8. Uitgaven betaalverzoek'!$F:$F,$B27,'8. Uitgaven betaalverzoek'!$A:$A,Keuze_DB_Nr_BEO)</f>
        <v>0</v>
      </c>
      <c r="T27" s="116" t="str">
        <f>IF($C27&lt;&gt;"",SUMIFS('8. Uitgaven betaalverzoek'!$W:$W,'8. Uitgaven betaalverzoek'!$E:$E,$A27,'8. Uitgaven betaalverzoek'!$F:$F,$B27,'8. Uitgaven betaalverzoek'!$A:$A,Keuze_DB_Nr_BEO),"")</f>
        <v/>
      </c>
      <c r="U27" s="116" t="str">
        <f>IF($C27&lt;&gt;"",SUMIFS('8. Uitgaven betaalverzoek'!$X:$X,'8. Uitgaven betaalverzoek'!$E:$E,$A27,'8. Uitgaven betaalverzoek'!$F:$F,$B27,'8. Uitgaven betaalverzoek'!$A:$A,Keuze_DB_Nr_BEO),"")</f>
        <v/>
      </c>
      <c r="V27" s="116">
        <f t="shared" si="2"/>
        <v>0</v>
      </c>
      <c r="W27" s="116">
        <f t="shared" si="3"/>
        <v>0</v>
      </c>
    </row>
    <row r="28" spans="1:23" x14ac:dyDescent="0.25">
      <c r="A28" s="78"/>
      <c r="B28" s="78"/>
      <c r="C28" s="105" t="str" cm="1">
        <f t="array" ref="C28">IFERROR(INDEX(Tb_KostenOpties[],MATCH(B28,Tb_KostenOptiesDB[KostenOptie],0),IFERROR(MATCH(Methode_Keuze,Tb_KostenOptiesDB[#Headers],0),2)),"")</f>
        <v/>
      </c>
      <c r="D28" s="117">
        <f>IFERROR(INDEX(Tb_ProjectKosten[],MATCH($B28,Tb_ProjectKosten[Begroting],0),6),0)</f>
        <v>0</v>
      </c>
      <c r="E28" s="115">
        <f>SUMIFS('8. Uitgaven betaalverzoek'!$U:$U,'8. Uitgaven betaalverzoek'!$E:$E,$A28,'8. Uitgaven betaalverzoek'!$F:$F,$B28)</f>
        <v>0</v>
      </c>
      <c r="F28" s="115">
        <f>SUMIFS('8. Uitgaven betaalverzoek'!$V:$V,'8. Uitgaven betaalverzoek'!$E:$E,$A28,'8. Uitgaven betaalverzoek'!$F:$F,$B28)</f>
        <v>0</v>
      </c>
      <c r="G28" s="115" t="str">
        <f>IF(C28&lt;&gt;"",SUMIFS('8. Uitgaven betaalverzoek'!$W:$W,'8. Uitgaven betaalverzoek'!$E:$E,$A28,'8. Uitgaven betaalverzoek'!$F:$F,$B28),"")</f>
        <v/>
      </c>
      <c r="H28" s="115" t="str">
        <f>IF(C28&lt;&gt;"",SUMIFS('8. Uitgaven betaalverzoek'!$X:$X,'8. Uitgaven betaalverzoek'!$E:$E,$A28,'8. Uitgaven betaalverzoek'!$F:$F,$B28),"")</f>
        <v/>
      </c>
      <c r="I28" s="117" t="str">
        <f>IFERROR(VLOOKUP(A28,Lijsten!$AD:$AE,2,0),"")</f>
        <v/>
      </c>
      <c r="J28" s="115">
        <f t="shared" si="4"/>
        <v>0</v>
      </c>
      <c r="K28" s="115">
        <f t="shared" si="1"/>
        <v>0</v>
      </c>
      <c r="L28" s="115">
        <f>SUMIFS('8. Uitgaven betaalverzoek'!$U:$U,'8. Uitgaven betaalverzoek'!$E:$E,$A28,'8. Uitgaven betaalverzoek'!$F:$F,$B28,'8. Uitgaven betaalverzoek'!$A:$A,Keuze_DB_Nr)</f>
        <v>0</v>
      </c>
      <c r="M28" s="115">
        <f>SUMIFS('8. Uitgaven betaalverzoek'!$V:$V,'8. Uitgaven betaalverzoek'!$E:$E,$A28,'8. Uitgaven betaalverzoek'!$F:$F,$B28,'8. Uitgaven betaalverzoek'!$A:$A,Keuze_DB_Nr)</f>
        <v>0</v>
      </c>
      <c r="N28" s="115" t="str">
        <f>IF($C28&lt;&gt;"",SUMIFS('8. Uitgaven betaalverzoek'!$W:$W,'8. Uitgaven betaalverzoek'!$E:$E,$A28,'8. Uitgaven betaalverzoek'!$F:$F,$B28,'8. Uitgaven betaalverzoek'!$A:$A,Keuze_DB_Nr),"")</f>
        <v/>
      </c>
      <c r="O28" s="115" t="str">
        <f>IF($C28&lt;&gt;"",SUMIFS('8. Uitgaven betaalverzoek'!$X:$X,'8. Uitgaven betaalverzoek'!$E:$E,$A28,'8. Uitgaven betaalverzoek'!$F:$F,$B28,'8. Uitgaven betaalverzoek'!$A:$A,Keuze_DB_Nr),"")</f>
        <v/>
      </c>
      <c r="P28" s="115">
        <f t="shared" si="5"/>
        <v>0</v>
      </c>
      <c r="Q28" s="115">
        <f t="shared" si="6"/>
        <v>0</v>
      </c>
      <c r="R28" s="115">
        <f>SUMIFS('8. Uitgaven betaalverzoek'!$U:$U,'8. Uitgaven betaalverzoek'!$E:$E,$A28,'8. Uitgaven betaalverzoek'!$F:$F,$B28,'8. Uitgaven betaalverzoek'!$A:$A,Keuze_DB_Nr_BEO)</f>
        <v>0</v>
      </c>
      <c r="S28" s="115">
        <f>SUMIFS('8. Uitgaven betaalverzoek'!$V:$V,'8. Uitgaven betaalverzoek'!$E:$E,$A28,'8. Uitgaven betaalverzoek'!$F:$F,$B28,'8. Uitgaven betaalverzoek'!$A:$A,Keuze_DB_Nr_BEO)</f>
        <v>0</v>
      </c>
      <c r="T28" s="115" t="str">
        <f>IF($C28&lt;&gt;"",SUMIFS('8. Uitgaven betaalverzoek'!$W:$W,'8. Uitgaven betaalverzoek'!$E:$E,$A28,'8. Uitgaven betaalverzoek'!$F:$F,$B28,'8. Uitgaven betaalverzoek'!$A:$A,Keuze_DB_Nr_BEO),"")</f>
        <v/>
      </c>
      <c r="U28" s="115" t="str">
        <f>IF($C28&lt;&gt;"",SUMIFS('8. Uitgaven betaalverzoek'!$X:$X,'8. Uitgaven betaalverzoek'!$E:$E,$A28,'8. Uitgaven betaalverzoek'!$F:$F,$B28,'8. Uitgaven betaalverzoek'!$A:$A,Keuze_DB_Nr_BEO),"")</f>
        <v/>
      </c>
      <c r="V28" s="115">
        <f t="shared" si="2"/>
        <v>0</v>
      </c>
      <c r="W28" s="115">
        <f t="shared" si="3"/>
        <v>0</v>
      </c>
    </row>
    <row r="29" spans="1:23" x14ac:dyDescent="0.25">
      <c r="A29" s="18"/>
      <c r="B29" s="18"/>
      <c r="C29" s="106" t="str" cm="1">
        <f t="array" ref="C29">IFERROR(INDEX(Tb_KostenOpties[],MATCH(B29,Tb_KostenOptiesDB[KostenOptie],0),IFERROR(MATCH(Methode_Keuze,Tb_KostenOptiesDB[#Headers],0),2)),"")</f>
        <v/>
      </c>
      <c r="D29" s="118">
        <f>IFERROR(INDEX(Tb_ProjectKosten[],MATCH($B29,Tb_ProjectKosten[Begroting],0),6),0)</f>
        <v>0</v>
      </c>
      <c r="E29" s="116">
        <f>SUMIFS('8. Uitgaven betaalverzoek'!$U:$U,'8. Uitgaven betaalverzoek'!$E:$E,$A29,'8. Uitgaven betaalverzoek'!$F:$F,$B29)</f>
        <v>0</v>
      </c>
      <c r="F29" s="116">
        <f>SUMIFS('8. Uitgaven betaalverzoek'!$V:$V,'8. Uitgaven betaalverzoek'!$E:$E,$A29,'8. Uitgaven betaalverzoek'!$F:$F,$B29)</f>
        <v>0</v>
      </c>
      <c r="G29" s="116" t="str">
        <f>IF(C29&lt;&gt;"",SUMIFS('8. Uitgaven betaalverzoek'!$W:$W,'8. Uitgaven betaalverzoek'!$E:$E,$A29,'8. Uitgaven betaalverzoek'!$F:$F,$B29),"")</f>
        <v/>
      </c>
      <c r="H29" s="116" t="str">
        <f>IF(C29&lt;&gt;"",SUMIFS('8. Uitgaven betaalverzoek'!$X:$X,'8. Uitgaven betaalverzoek'!$E:$E,$A29,'8. Uitgaven betaalverzoek'!$F:$F,$B29),"")</f>
        <v/>
      </c>
      <c r="I29" s="118" t="str">
        <f>IFERROR(VLOOKUP(A29,Lijsten!$AD:$AE,2,0),"")</f>
        <v/>
      </c>
      <c r="J29" s="116">
        <f t="shared" si="4"/>
        <v>0</v>
      </c>
      <c r="K29" s="116">
        <f t="shared" si="1"/>
        <v>0</v>
      </c>
      <c r="L29" s="116">
        <f>SUMIFS('8. Uitgaven betaalverzoek'!$U:$U,'8. Uitgaven betaalverzoek'!$E:$E,$A29,'8. Uitgaven betaalverzoek'!$F:$F,$B29,'8. Uitgaven betaalverzoek'!$A:$A,Keuze_DB_Nr)</f>
        <v>0</v>
      </c>
      <c r="M29" s="116">
        <f>SUMIFS('8. Uitgaven betaalverzoek'!$V:$V,'8. Uitgaven betaalverzoek'!$E:$E,$A29,'8. Uitgaven betaalverzoek'!$F:$F,$B29,'8. Uitgaven betaalverzoek'!$A:$A,Keuze_DB_Nr)</f>
        <v>0</v>
      </c>
      <c r="N29" s="116" t="str">
        <f>IF($C29&lt;&gt;"",SUMIFS('8. Uitgaven betaalverzoek'!$W:$W,'8. Uitgaven betaalverzoek'!$E:$E,$A29,'8. Uitgaven betaalverzoek'!$F:$F,$B29,'8. Uitgaven betaalverzoek'!$A:$A,Keuze_DB_Nr),"")</f>
        <v/>
      </c>
      <c r="O29" s="116" t="str">
        <f>IF($C29&lt;&gt;"",SUMIFS('8. Uitgaven betaalverzoek'!$X:$X,'8. Uitgaven betaalverzoek'!$E:$E,$A29,'8. Uitgaven betaalverzoek'!$F:$F,$B29,'8. Uitgaven betaalverzoek'!$A:$A,Keuze_DB_Nr),"")</f>
        <v/>
      </c>
      <c r="P29" s="116">
        <f t="shared" si="5"/>
        <v>0</v>
      </c>
      <c r="Q29" s="116">
        <f t="shared" si="6"/>
        <v>0</v>
      </c>
      <c r="R29" s="116">
        <f>SUMIFS('8. Uitgaven betaalverzoek'!$U:$U,'8. Uitgaven betaalverzoek'!$E:$E,$A29,'8. Uitgaven betaalverzoek'!$F:$F,$B29,'8. Uitgaven betaalverzoek'!$A:$A,Keuze_DB_Nr_BEO)</f>
        <v>0</v>
      </c>
      <c r="S29" s="116">
        <f>SUMIFS('8. Uitgaven betaalverzoek'!$V:$V,'8. Uitgaven betaalverzoek'!$E:$E,$A29,'8. Uitgaven betaalverzoek'!$F:$F,$B29,'8. Uitgaven betaalverzoek'!$A:$A,Keuze_DB_Nr_BEO)</f>
        <v>0</v>
      </c>
      <c r="T29" s="116" t="str">
        <f>IF($C29&lt;&gt;"",SUMIFS('8. Uitgaven betaalverzoek'!$W:$W,'8. Uitgaven betaalverzoek'!$E:$E,$A29,'8. Uitgaven betaalverzoek'!$F:$F,$B29,'8. Uitgaven betaalverzoek'!$A:$A,Keuze_DB_Nr_BEO),"")</f>
        <v/>
      </c>
      <c r="U29" s="116" t="str">
        <f>IF($C29&lt;&gt;"",SUMIFS('8. Uitgaven betaalverzoek'!$X:$X,'8. Uitgaven betaalverzoek'!$E:$E,$A29,'8. Uitgaven betaalverzoek'!$F:$F,$B29,'8. Uitgaven betaalverzoek'!$A:$A,Keuze_DB_Nr_BEO),"")</f>
        <v/>
      </c>
      <c r="V29" s="116">
        <f t="shared" si="2"/>
        <v>0</v>
      </c>
      <c r="W29" s="116">
        <f t="shared" si="3"/>
        <v>0</v>
      </c>
    </row>
    <row r="30" spans="1:23" x14ac:dyDescent="0.25">
      <c r="A30" s="78"/>
      <c r="B30" s="78"/>
      <c r="C30" s="105" t="str" cm="1">
        <f t="array" ref="C30">IFERROR(INDEX(Tb_KostenOpties[],MATCH(B30,Tb_KostenOptiesDB[KostenOptie],0),IFERROR(MATCH(Methode_Keuze,Tb_KostenOptiesDB[#Headers],0),2)),"")</f>
        <v/>
      </c>
      <c r="D30" s="117">
        <f>IFERROR(INDEX(Tb_ProjectKosten[],MATCH($B30,Tb_ProjectKosten[Begroting],0),6),0)</f>
        <v>0</v>
      </c>
      <c r="E30" s="115">
        <f>SUMIFS('8. Uitgaven betaalverzoek'!$U:$U,'8. Uitgaven betaalverzoek'!$E:$E,$A30,'8. Uitgaven betaalverzoek'!$F:$F,$B30)</f>
        <v>0</v>
      </c>
      <c r="F30" s="115">
        <f>SUMIFS('8. Uitgaven betaalverzoek'!$V:$V,'8. Uitgaven betaalverzoek'!$E:$E,$A30,'8. Uitgaven betaalverzoek'!$F:$F,$B30)</f>
        <v>0</v>
      </c>
      <c r="G30" s="115" t="str">
        <f>IF(C30&lt;&gt;"",SUMIFS('8. Uitgaven betaalverzoek'!$W:$W,'8. Uitgaven betaalverzoek'!$E:$E,$A30,'8. Uitgaven betaalverzoek'!$F:$F,$B30),"")</f>
        <v/>
      </c>
      <c r="H30" s="115" t="str">
        <f>IF(C30&lt;&gt;"",SUMIFS('8. Uitgaven betaalverzoek'!$X:$X,'8. Uitgaven betaalverzoek'!$E:$E,$A30,'8. Uitgaven betaalverzoek'!$F:$F,$B30),"")</f>
        <v/>
      </c>
      <c r="I30" s="117" t="str">
        <f>IFERROR(VLOOKUP(A30,Lijsten!$AD:$AE,2,0),"")</f>
        <v/>
      </c>
      <c r="J30" s="115">
        <f t="shared" si="4"/>
        <v>0</v>
      </c>
      <c r="K30" s="115">
        <f t="shared" si="1"/>
        <v>0</v>
      </c>
      <c r="L30" s="115">
        <f>SUMIFS('8. Uitgaven betaalverzoek'!$U:$U,'8. Uitgaven betaalverzoek'!$E:$E,$A30,'8. Uitgaven betaalverzoek'!$F:$F,$B30,'8. Uitgaven betaalverzoek'!$A:$A,Keuze_DB_Nr)</f>
        <v>0</v>
      </c>
      <c r="M30" s="115">
        <f>SUMIFS('8. Uitgaven betaalverzoek'!$V:$V,'8. Uitgaven betaalverzoek'!$E:$E,$A30,'8. Uitgaven betaalverzoek'!$F:$F,$B30,'8. Uitgaven betaalverzoek'!$A:$A,Keuze_DB_Nr)</f>
        <v>0</v>
      </c>
      <c r="N30" s="115" t="str">
        <f>IF($C30&lt;&gt;"",SUMIFS('8. Uitgaven betaalverzoek'!$W:$W,'8. Uitgaven betaalverzoek'!$E:$E,$A30,'8. Uitgaven betaalverzoek'!$F:$F,$B30,'8. Uitgaven betaalverzoek'!$A:$A,Keuze_DB_Nr),"")</f>
        <v/>
      </c>
      <c r="O30" s="115" t="str">
        <f>IF($C30&lt;&gt;"",SUMIFS('8. Uitgaven betaalverzoek'!$X:$X,'8. Uitgaven betaalverzoek'!$E:$E,$A30,'8. Uitgaven betaalverzoek'!$F:$F,$B30,'8. Uitgaven betaalverzoek'!$A:$A,Keuze_DB_Nr),"")</f>
        <v/>
      </c>
      <c r="P30" s="115">
        <f t="shared" si="5"/>
        <v>0</v>
      </c>
      <c r="Q30" s="115">
        <f t="shared" si="6"/>
        <v>0</v>
      </c>
      <c r="R30" s="115">
        <f>SUMIFS('8. Uitgaven betaalverzoek'!$U:$U,'8. Uitgaven betaalverzoek'!$E:$E,$A30,'8. Uitgaven betaalverzoek'!$F:$F,$B30,'8. Uitgaven betaalverzoek'!$A:$A,Keuze_DB_Nr_BEO)</f>
        <v>0</v>
      </c>
      <c r="S30" s="115">
        <f>SUMIFS('8. Uitgaven betaalverzoek'!$V:$V,'8. Uitgaven betaalverzoek'!$E:$E,$A30,'8. Uitgaven betaalverzoek'!$F:$F,$B30,'8. Uitgaven betaalverzoek'!$A:$A,Keuze_DB_Nr_BEO)</f>
        <v>0</v>
      </c>
      <c r="T30" s="115" t="str">
        <f>IF($C30&lt;&gt;"",SUMIFS('8. Uitgaven betaalverzoek'!$W:$W,'8. Uitgaven betaalverzoek'!$E:$E,$A30,'8. Uitgaven betaalverzoek'!$F:$F,$B30,'8. Uitgaven betaalverzoek'!$A:$A,Keuze_DB_Nr_BEO),"")</f>
        <v/>
      </c>
      <c r="U30" s="115" t="str">
        <f>IF($C30&lt;&gt;"",SUMIFS('8. Uitgaven betaalverzoek'!$X:$X,'8. Uitgaven betaalverzoek'!$E:$E,$A30,'8. Uitgaven betaalverzoek'!$F:$F,$B30,'8. Uitgaven betaalverzoek'!$A:$A,Keuze_DB_Nr_BEO),"")</f>
        <v/>
      </c>
      <c r="V30" s="115">
        <f t="shared" si="2"/>
        <v>0</v>
      </c>
      <c r="W30" s="115">
        <f t="shared" si="3"/>
        <v>0</v>
      </c>
    </row>
    <row r="31" spans="1:23" x14ac:dyDescent="0.25">
      <c r="A31" s="18"/>
      <c r="B31" s="18"/>
      <c r="C31" s="106" t="str" cm="1">
        <f t="array" ref="C31">IFERROR(INDEX(Tb_KostenOpties[],MATCH(B31,Tb_KostenOptiesDB[KostenOptie],0),IFERROR(MATCH(Methode_Keuze,Tb_KostenOptiesDB[#Headers],0),2)),"")</f>
        <v/>
      </c>
      <c r="D31" s="118">
        <f>IFERROR(INDEX(Tb_ProjectKosten[],MATCH($B31,Tb_ProjectKosten[Begroting],0),6),0)</f>
        <v>0</v>
      </c>
      <c r="E31" s="116">
        <f>SUMIFS('8. Uitgaven betaalverzoek'!$U:$U,'8. Uitgaven betaalverzoek'!$E:$E,$A31,'8. Uitgaven betaalverzoek'!$F:$F,$B31)</f>
        <v>0</v>
      </c>
      <c r="F31" s="116">
        <f>SUMIFS('8. Uitgaven betaalverzoek'!$V:$V,'8. Uitgaven betaalverzoek'!$E:$E,$A31,'8. Uitgaven betaalverzoek'!$F:$F,$B31)</f>
        <v>0</v>
      </c>
      <c r="G31" s="116" t="str">
        <f>IF(C31&lt;&gt;"",SUMIFS('8. Uitgaven betaalverzoek'!$W:$W,'8. Uitgaven betaalverzoek'!$E:$E,$A31,'8. Uitgaven betaalverzoek'!$F:$F,$B31),"")</f>
        <v/>
      </c>
      <c r="H31" s="116" t="str">
        <f>IF(C31&lt;&gt;"",SUMIFS('8. Uitgaven betaalverzoek'!$X:$X,'8. Uitgaven betaalverzoek'!$E:$E,$A31,'8. Uitgaven betaalverzoek'!$F:$F,$B31),"")</f>
        <v/>
      </c>
      <c r="I31" s="118" t="str">
        <f>IFERROR(VLOOKUP(A31,Lijsten!$AD:$AE,2,0),"")</f>
        <v/>
      </c>
      <c r="J31" s="116">
        <f t="shared" si="4"/>
        <v>0</v>
      </c>
      <c r="K31" s="116">
        <f t="shared" si="1"/>
        <v>0</v>
      </c>
      <c r="L31" s="116">
        <f>SUMIFS('8. Uitgaven betaalverzoek'!$U:$U,'8. Uitgaven betaalverzoek'!$E:$E,$A31,'8. Uitgaven betaalverzoek'!$F:$F,$B31,'8. Uitgaven betaalverzoek'!$A:$A,Keuze_DB_Nr)</f>
        <v>0</v>
      </c>
      <c r="M31" s="116">
        <f>SUMIFS('8. Uitgaven betaalverzoek'!$V:$V,'8. Uitgaven betaalverzoek'!$E:$E,$A31,'8. Uitgaven betaalverzoek'!$F:$F,$B31,'8. Uitgaven betaalverzoek'!$A:$A,Keuze_DB_Nr)</f>
        <v>0</v>
      </c>
      <c r="N31" s="116" t="str">
        <f>IF($C31&lt;&gt;"",SUMIFS('8. Uitgaven betaalverzoek'!$W:$W,'8. Uitgaven betaalverzoek'!$E:$E,$A31,'8. Uitgaven betaalverzoek'!$F:$F,$B31,'8. Uitgaven betaalverzoek'!$A:$A,Keuze_DB_Nr),"")</f>
        <v/>
      </c>
      <c r="O31" s="116" t="str">
        <f>IF($C31&lt;&gt;"",SUMIFS('8. Uitgaven betaalverzoek'!$X:$X,'8. Uitgaven betaalverzoek'!$E:$E,$A31,'8. Uitgaven betaalverzoek'!$F:$F,$B31,'8. Uitgaven betaalverzoek'!$A:$A,Keuze_DB_Nr),"")</f>
        <v/>
      </c>
      <c r="P31" s="116">
        <f t="shared" si="5"/>
        <v>0</v>
      </c>
      <c r="Q31" s="116">
        <f t="shared" si="6"/>
        <v>0</v>
      </c>
      <c r="R31" s="116">
        <f>SUMIFS('8. Uitgaven betaalverzoek'!$U:$U,'8. Uitgaven betaalverzoek'!$E:$E,$A31,'8. Uitgaven betaalverzoek'!$F:$F,$B31,'8. Uitgaven betaalverzoek'!$A:$A,Keuze_DB_Nr_BEO)</f>
        <v>0</v>
      </c>
      <c r="S31" s="116">
        <f>SUMIFS('8. Uitgaven betaalverzoek'!$V:$V,'8. Uitgaven betaalverzoek'!$E:$E,$A31,'8. Uitgaven betaalverzoek'!$F:$F,$B31,'8. Uitgaven betaalverzoek'!$A:$A,Keuze_DB_Nr_BEO)</f>
        <v>0</v>
      </c>
      <c r="T31" s="116" t="str">
        <f>IF($C31&lt;&gt;"",SUMIFS('8. Uitgaven betaalverzoek'!$W:$W,'8. Uitgaven betaalverzoek'!$E:$E,$A31,'8. Uitgaven betaalverzoek'!$F:$F,$B31,'8. Uitgaven betaalverzoek'!$A:$A,Keuze_DB_Nr_BEO),"")</f>
        <v/>
      </c>
      <c r="U31" s="116" t="str">
        <f>IF($C31&lt;&gt;"",SUMIFS('8. Uitgaven betaalverzoek'!$X:$X,'8. Uitgaven betaalverzoek'!$E:$E,$A31,'8. Uitgaven betaalverzoek'!$F:$F,$B31,'8. Uitgaven betaalverzoek'!$A:$A,Keuze_DB_Nr_BEO),"")</f>
        <v/>
      </c>
      <c r="V31" s="116">
        <f t="shared" si="2"/>
        <v>0</v>
      </c>
      <c r="W31" s="116">
        <f t="shared" si="3"/>
        <v>0</v>
      </c>
    </row>
    <row r="32" spans="1:23" x14ac:dyDescent="0.25">
      <c r="A32" s="78"/>
      <c r="B32" s="78"/>
      <c r="C32" s="105" t="str" cm="1">
        <f t="array" ref="C32">IFERROR(INDEX(Tb_KostenOpties[],MATCH(B32,Tb_KostenOptiesDB[KostenOptie],0),IFERROR(MATCH(Methode_Keuze,Tb_KostenOptiesDB[#Headers],0),2)),"")</f>
        <v/>
      </c>
      <c r="D32" s="117">
        <f>IFERROR(INDEX(Tb_ProjectKosten[],MATCH($B32,Tb_ProjectKosten[Begroting],0),6),0)</f>
        <v>0</v>
      </c>
      <c r="E32" s="115">
        <f>SUMIFS('8. Uitgaven betaalverzoek'!$U:$U,'8. Uitgaven betaalverzoek'!$E:$E,$A32,'8. Uitgaven betaalverzoek'!$F:$F,$B32)</f>
        <v>0</v>
      </c>
      <c r="F32" s="115">
        <f>SUMIFS('8. Uitgaven betaalverzoek'!$V:$V,'8. Uitgaven betaalverzoek'!$E:$E,$A32,'8. Uitgaven betaalverzoek'!$F:$F,$B32)</f>
        <v>0</v>
      </c>
      <c r="G32" s="115" t="str">
        <f>IF(C32&lt;&gt;"",SUMIFS('8. Uitgaven betaalverzoek'!$W:$W,'8. Uitgaven betaalverzoek'!$E:$E,$A32,'8. Uitgaven betaalverzoek'!$F:$F,$B32),"")</f>
        <v/>
      </c>
      <c r="H32" s="115" t="str">
        <f>IF(C32&lt;&gt;"",SUMIFS('8. Uitgaven betaalverzoek'!$X:$X,'8. Uitgaven betaalverzoek'!$E:$E,$A32,'8. Uitgaven betaalverzoek'!$F:$F,$B32),"")</f>
        <v/>
      </c>
      <c r="I32" s="117" t="str">
        <f>IFERROR(VLOOKUP(A32,Lijsten!$AD:$AE,2,0),"")</f>
        <v/>
      </c>
      <c r="J32" s="115">
        <f t="shared" si="4"/>
        <v>0</v>
      </c>
      <c r="K32" s="115">
        <f t="shared" si="1"/>
        <v>0</v>
      </c>
      <c r="L32" s="115">
        <f>SUMIFS('8. Uitgaven betaalverzoek'!$U:$U,'8. Uitgaven betaalverzoek'!$E:$E,$A32,'8. Uitgaven betaalverzoek'!$F:$F,$B32,'8. Uitgaven betaalverzoek'!$A:$A,Keuze_DB_Nr)</f>
        <v>0</v>
      </c>
      <c r="M32" s="115">
        <f>SUMIFS('8. Uitgaven betaalverzoek'!$V:$V,'8. Uitgaven betaalverzoek'!$E:$E,$A32,'8. Uitgaven betaalverzoek'!$F:$F,$B32,'8. Uitgaven betaalverzoek'!$A:$A,Keuze_DB_Nr)</f>
        <v>0</v>
      </c>
      <c r="N32" s="115" t="str">
        <f>IF($C32&lt;&gt;"",SUMIFS('8. Uitgaven betaalverzoek'!$W:$W,'8. Uitgaven betaalverzoek'!$E:$E,$A32,'8. Uitgaven betaalverzoek'!$F:$F,$B32,'8. Uitgaven betaalverzoek'!$A:$A,Keuze_DB_Nr),"")</f>
        <v/>
      </c>
      <c r="O32" s="115" t="str">
        <f>IF($C32&lt;&gt;"",SUMIFS('8. Uitgaven betaalverzoek'!$X:$X,'8. Uitgaven betaalverzoek'!$E:$E,$A32,'8. Uitgaven betaalverzoek'!$F:$F,$B32,'8. Uitgaven betaalverzoek'!$A:$A,Keuze_DB_Nr),"")</f>
        <v/>
      </c>
      <c r="P32" s="115">
        <f t="shared" si="5"/>
        <v>0</v>
      </c>
      <c r="Q32" s="115">
        <f t="shared" si="6"/>
        <v>0</v>
      </c>
      <c r="R32" s="115">
        <f>SUMIFS('8. Uitgaven betaalverzoek'!$U:$U,'8. Uitgaven betaalverzoek'!$E:$E,$A32,'8. Uitgaven betaalverzoek'!$F:$F,$B32,'8. Uitgaven betaalverzoek'!$A:$A,Keuze_DB_Nr_BEO)</f>
        <v>0</v>
      </c>
      <c r="S32" s="115">
        <f>SUMIFS('8. Uitgaven betaalverzoek'!$V:$V,'8. Uitgaven betaalverzoek'!$E:$E,$A32,'8. Uitgaven betaalverzoek'!$F:$F,$B32,'8. Uitgaven betaalverzoek'!$A:$A,Keuze_DB_Nr_BEO)</f>
        <v>0</v>
      </c>
      <c r="T32" s="115" t="str">
        <f>IF($C32&lt;&gt;"",SUMIFS('8. Uitgaven betaalverzoek'!$W:$W,'8. Uitgaven betaalverzoek'!$E:$E,$A32,'8. Uitgaven betaalverzoek'!$F:$F,$B32,'8. Uitgaven betaalverzoek'!$A:$A,Keuze_DB_Nr_BEO),"")</f>
        <v/>
      </c>
      <c r="U32" s="115" t="str">
        <f>IF($C32&lt;&gt;"",SUMIFS('8. Uitgaven betaalverzoek'!$X:$X,'8. Uitgaven betaalverzoek'!$E:$E,$A32,'8. Uitgaven betaalverzoek'!$F:$F,$B32,'8. Uitgaven betaalverzoek'!$A:$A,Keuze_DB_Nr_BEO),"")</f>
        <v/>
      </c>
      <c r="V32" s="115">
        <f t="shared" si="2"/>
        <v>0</v>
      </c>
      <c r="W32" s="115">
        <f t="shared" si="3"/>
        <v>0</v>
      </c>
    </row>
    <row r="33" spans="1:23" x14ac:dyDescent="0.25">
      <c r="A33" s="18"/>
      <c r="B33" s="18"/>
      <c r="C33" s="106" t="str" cm="1">
        <f t="array" ref="C33">IFERROR(INDEX(Tb_KostenOpties[],MATCH(B33,Tb_KostenOptiesDB[KostenOptie],0),IFERROR(MATCH(Methode_Keuze,Tb_KostenOptiesDB[#Headers],0),2)),"")</f>
        <v/>
      </c>
      <c r="D33" s="118">
        <f>IFERROR(INDEX(Tb_ProjectKosten[],MATCH($B33,Tb_ProjectKosten[Begroting],0),6),0)</f>
        <v>0</v>
      </c>
      <c r="E33" s="116">
        <f>SUMIFS('8. Uitgaven betaalverzoek'!$U:$U,'8. Uitgaven betaalverzoek'!$E:$E,$A33,'8. Uitgaven betaalverzoek'!$F:$F,$B33)</f>
        <v>0</v>
      </c>
      <c r="F33" s="116">
        <f>SUMIFS('8. Uitgaven betaalverzoek'!$V:$V,'8. Uitgaven betaalverzoek'!$E:$E,$A33,'8. Uitgaven betaalverzoek'!$F:$F,$B33)</f>
        <v>0</v>
      </c>
      <c r="G33" s="116" t="str">
        <f>IF(C33&lt;&gt;"",SUMIFS('8. Uitgaven betaalverzoek'!$W:$W,'8. Uitgaven betaalverzoek'!$E:$E,$A33,'8. Uitgaven betaalverzoek'!$F:$F,$B33),"")</f>
        <v/>
      </c>
      <c r="H33" s="116" t="str">
        <f>IF(C33&lt;&gt;"",SUMIFS('8. Uitgaven betaalverzoek'!$X:$X,'8. Uitgaven betaalverzoek'!$E:$E,$A33,'8. Uitgaven betaalverzoek'!$F:$F,$B33),"")</f>
        <v/>
      </c>
      <c r="I33" s="118" t="str">
        <f>IFERROR(VLOOKUP(A33,Lijsten!$AD:$AE,2,0),"")</f>
        <v/>
      </c>
      <c r="J33" s="116">
        <f t="shared" si="4"/>
        <v>0</v>
      </c>
      <c r="K33" s="116">
        <f t="shared" si="1"/>
        <v>0</v>
      </c>
      <c r="L33" s="116">
        <f>SUMIFS('8. Uitgaven betaalverzoek'!$U:$U,'8. Uitgaven betaalverzoek'!$E:$E,$A33,'8. Uitgaven betaalverzoek'!$F:$F,$B33,'8. Uitgaven betaalverzoek'!$A:$A,Keuze_DB_Nr)</f>
        <v>0</v>
      </c>
      <c r="M33" s="116">
        <f>SUMIFS('8. Uitgaven betaalverzoek'!$V:$V,'8. Uitgaven betaalverzoek'!$E:$E,$A33,'8. Uitgaven betaalverzoek'!$F:$F,$B33,'8. Uitgaven betaalverzoek'!$A:$A,Keuze_DB_Nr)</f>
        <v>0</v>
      </c>
      <c r="N33" s="116" t="str">
        <f>IF($C33&lt;&gt;"",SUMIFS('8. Uitgaven betaalverzoek'!$W:$W,'8. Uitgaven betaalverzoek'!$E:$E,$A33,'8. Uitgaven betaalverzoek'!$F:$F,$B33,'8. Uitgaven betaalverzoek'!$A:$A,Keuze_DB_Nr),"")</f>
        <v/>
      </c>
      <c r="O33" s="116" t="str">
        <f>IF($C33&lt;&gt;"",SUMIFS('8. Uitgaven betaalverzoek'!$X:$X,'8. Uitgaven betaalverzoek'!$E:$E,$A33,'8. Uitgaven betaalverzoek'!$F:$F,$B33,'8. Uitgaven betaalverzoek'!$A:$A,Keuze_DB_Nr),"")</f>
        <v/>
      </c>
      <c r="P33" s="116">
        <f t="shared" si="5"/>
        <v>0</v>
      </c>
      <c r="Q33" s="116">
        <f t="shared" si="6"/>
        <v>0</v>
      </c>
      <c r="R33" s="116">
        <f>SUMIFS('8. Uitgaven betaalverzoek'!$U:$U,'8. Uitgaven betaalverzoek'!$E:$E,$A33,'8. Uitgaven betaalverzoek'!$F:$F,$B33,'8. Uitgaven betaalverzoek'!$A:$A,Keuze_DB_Nr_BEO)</f>
        <v>0</v>
      </c>
      <c r="S33" s="116">
        <f>SUMIFS('8. Uitgaven betaalverzoek'!$V:$V,'8. Uitgaven betaalverzoek'!$E:$E,$A33,'8. Uitgaven betaalverzoek'!$F:$F,$B33,'8. Uitgaven betaalverzoek'!$A:$A,Keuze_DB_Nr_BEO)</f>
        <v>0</v>
      </c>
      <c r="T33" s="116" t="str">
        <f>IF($C33&lt;&gt;"",SUMIFS('8. Uitgaven betaalverzoek'!$W:$W,'8. Uitgaven betaalverzoek'!$E:$E,$A33,'8. Uitgaven betaalverzoek'!$F:$F,$B33,'8. Uitgaven betaalverzoek'!$A:$A,Keuze_DB_Nr_BEO),"")</f>
        <v/>
      </c>
      <c r="U33" s="116" t="str">
        <f>IF($C33&lt;&gt;"",SUMIFS('8. Uitgaven betaalverzoek'!$X:$X,'8. Uitgaven betaalverzoek'!$E:$E,$A33,'8. Uitgaven betaalverzoek'!$F:$F,$B33,'8. Uitgaven betaalverzoek'!$A:$A,Keuze_DB_Nr_BEO),"")</f>
        <v/>
      </c>
      <c r="V33" s="116">
        <f t="shared" si="2"/>
        <v>0</v>
      </c>
      <c r="W33" s="116">
        <f t="shared" si="3"/>
        <v>0</v>
      </c>
    </row>
    <row r="34" spans="1:23" x14ac:dyDescent="0.25">
      <c r="A34" s="78"/>
      <c r="B34" s="78"/>
      <c r="C34" s="105" t="str" cm="1">
        <f t="array" ref="C34">IFERROR(INDEX(Tb_KostenOpties[],MATCH(B34,Tb_KostenOptiesDB[KostenOptie],0),IFERROR(MATCH(Methode_Keuze,Tb_KostenOptiesDB[#Headers],0),2)),"")</f>
        <v/>
      </c>
      <c r="D34" s="117">
        <f>IFERROR(INDEX(Tb_ProjectKosten[],MATCH($B34,Tb_ProjectKosten[Begroting],0),6),0)</f>
        <v>0</v>
      </c>
      <c r="E34" s="115">
        <f>SUMIFS('8. Uitgaven betaalverzoek'!$U:$U,'8. Uitgaven betaalverzoek'!$E:$E,$A34,'8. Uitgaven betaalverzoek'!$F:$F,$B34)</f>
        <v>0</v>
      </c>
      <c r="F34" s="115">
        <f>SUMIFS('8. Uitgaven betaalverzoek'!$V:$V,'8. Uitgaven betaalverzoek'!$E:$E,$A34,'8. Uitgaven betaalverzoek'!$F:$F,$B34)</f>
        <v>0</v>
      </c>
      <c r="G34" s="115" t="str">
        <f>IF(C34&lt;&gt;"",SUMIFS('8. Uitgaven betaalverzoek'!$W:$W,'8. Uitgaven betaalverzoek'!$E:$E,$A34,'8. Uitgaven betaalverzoek'!$F:$F,$B34),"")</f>
        <v/>
      </c>
      <c r="H34" s="115" t="str">
        <f>IF(C34&lt;&gt;"",SUMIFS('8. Uitgaven betaalverzoek'!$X:$X,'8. Uitgaven betaalverzoek'!$E:$E,$A34,'8. Uitgaven betaalverzoek'!$F:$F,$B34),"")</f>
        <v/>
      </c>
      <c r="I34" s="117" t="str">
        <f>IFERROR(VLOOKUP(A34,Lijsten!$AD:$AE,2,0),"")</f>
        <v/>
      </c>
      <c r="J34" s="115">
        <f t="shared" si="4"/>
        <v>0</v>
      </c>
      <c r="K34" s="115">
        <f t="shared" si="1"/>
        <v>0</v>
      </c>
      <c r="L34" s="115">
        <f>SUMIFS('8. Uitgaven betaalverzoek'!$U:$U,'8. Uitgaven betaalverzoek'!$E:$E,$A34,'8. Uitgaven betaalverzoek'!$F:$F,$B34,'8. Uitgaven betaalverzoek'!$A:$A,Keuze_DB_Nr)</f>
        <v>0</v>
      </c>
      <c r="M34" s="115">
        <f>SUMIFS('8. Uitgaven betaalverzoek'!$V:$V,'8. Uitgaven betaalverzoek'!$E:$E,$A34,'8. Uitgaven betaalverzoek'!$F:$F,$B34,'8. Uitgaven betaalverzoek'!$A:$A,Keuze_DB_Nr)</f>
        <v>0</v>
      </c>
      <c r="N34" s="115" t="str">
        <f>IF($C34&lt;&gt;"",SUMIFS('8. Uitgaven betaalverzoek'!$W:$W,'8. Uitgaven betaalverzoek'!$E:$E,$A34,'8. Uitgaven betaalverzoek'!$F:$F,$B34,'8. Uitgaven betaalverzoek'!$A:$A,Keuze_DB_Nr),"")</f>
        <v/>
      </c>
      <c r="O34" s="115" t="str">
        <f>IF($C34&lt;&gt;"",SUMIFS('8. Uitgaven betaalverzoek'!$X:$X,'8. Uitgaven betaalverzoek'!$E:$E,$A34,'8. Uitgaven betaalverzoek'!$F:$F,$B34,'8. Uitgaven betaalverzoek'!$A:$A,Keuze_DB_Nr),"")</f>
        <v/>
      </c>
      <c r="P34" s="115">
        <f t="shared" si="5"/>
        <v>0</v>
      </c>
      <c r="Q34" s="115">
        <f t="shared" si="6"/>
        <v>0</v>
      </c>
      <c r="R34" s="115">
        <f>SUMIFS('8. Uitgaven betaalverzoek'!$U:$U,'8. Uitgaven betaalverzoek'!$E:$E,$A34,'8. Uitgaven betaalverzoek'!$F:$F,$B34,'8. Uitgaven betaalverzoek'!$A:$A,Keuze_DB_Nr_BEO)</f>
        <v>0</v>
      </c>
      <c r="S34" s="115">
        <f>SUMIFS('8. Uitgaven betaalverzoek'!$V:$V,'8. Uitgaven betaalverzoek'!$E:$E,$A34,'8. Uitgaven betaalverzoek'!$F:$F,$B34,'8. Uitgaven betaalverzoek'!$A:$A,Keuze_DB_Nr_BEO)</f>
        <v>0</v>
      </c>
      <c r="T34" s="115" t="str">
        <f>IF($C34&lt;&gt;"",SUMIFS('8. Uitgaven betaalverzoek'!$W:$W,'8. Uitgaven betaalverzoek'!$E:$E,$A34,'8. Uitgaven betaalverzoek'!$F:$F,$B34,'8. Uitgaven betaalverzoek'!$A:$A,Keuze_DB_Nr_BEO),"")</f>
        <v/>
      </c>
      <c r="U34" s="115" t="str">
        <f>IF($C34&lt;&gt;"",SUMIFS('8. Uitgaven betaalverzoek'!$X:$X,'8. Uitgaven betaalverzoek'!$E:$E,$A34,'8. Uitgaven betaalverzoek'!$F:$F,$B34,'8. Uitgaven betaalverzoek'!$A:$A,Keuze_DB_Nr_BEO),"")</f>
        <v/>
      </c>
      <c r="V34" s="115">
        <f t="shared" si="2"/>
        <v>0</v>
      </c>
      <c r="W34" s="115">
        <f t="shared" si="3"/>
        <v>0</v>
      </c>
    </row>
    <row r="35" spans="1:23" x14ac:dyDescent="0.25">
      <c r="A35" s="18"/>
      <c r="B35" s="18"/>
      <c r="C35" s="106" t="str" cm="1">
        <f t="array" ref="C35">IFERROR(INDEX(Tb_KostenOpties[],MATCH(B35,Tb_KostenOptiesDB[KostenOptie],0),IFERROR(MATCH(Methode_Keuze,Tb_KostenOptiesDB[#Headers],0),2)),"")</f>
        <v/>
      </c>
      <c r="D35" s="118">
        <f>IFERROR(INDEX(Tb_ProjectKosten[],MATCH($B35,Tb_ProjectKosten[Begroting],0),6),0)</f>
        <v>0</v>
      </c>
      <c r="E35" s="116">
        <f>SUMIFS('8. Uitgaven betaalverzoek'!$U:$U,'8. Uitgaven betaalverzoek'!$E:$E,$A35,'8. Uitgaven betaalverzoek'!$F:$F,$B35)</f>
        <v>0</v>
      </c>
      <c r="F35" s="116">
        <f>SUMIFS('8. Uitgaven betaalverzoek'!$V:$V,'8. Uitgaven betaalverzoek'!$E:$E,$A35,'8. Uitgaven betaalverzoek'!$F:$F,$B35)</f>
        <v>0</v>
      </c>
      <c r="G35" s="116" t="str">
        <f>IF(C35&lt;&gt;"",SUMIFS('8. Uitgaven betaalverzoek'!$W:$W,'8. Uitgaven betaalverzoek'!$E:$E,$A35,'8. Uitgaven betaalverzoek'!$F:$F,$B35),"")</f>
        <v/>
      </c>
      <c r="H35" s="116" t="str">
        <f>IF(C35&lt;&gt;"",SUMIFS('8. Uitgaven betaalverzoek'!$X:$X,'8. Uitgaven betaalverzoek'!$E:$E,$A35,'8. Uitgaven betaalverzoek'!$F:$F,$B35),"")</f>
        <v/>
      </c>
      <c r="I35" s="118" t="str">
        <f>IFERROR(VLOOKUP(A35,Lijsten!$AD:$AE,2,0),"")</f>
        <v/>
      </c>
      <c r="J35" s="116">
        <f t="shared" si="4"/>
        <v>0</v>
      </c>
      <c r="K35" s="116">
        <f t="shared" si="1"/>
        <v>0</v>
      </c>
      <c r="L35" s="116">
        <f>SUMIFS('8. Uitgaven betaalverzoek'!$U:$U,'8. Uitgaven betaalverzoek'!$E:$E,$A35,'8. Uitgaven betaalverzoek'!$F:$F,$B35,'8. Uitgaven betaalverzoek'!$A:$A,Keuze_DB_Nr)</f>
        <v>0</v>
      </c>
      <c r="M35" s="116">
        <f>SUMIFS('8. Uitgaven betaalverzoek'!$V:$V,'8. Uitgaven betaalverzoek'!$E:$E,$A35,'8. Uitgaven betaalverzoek'!$F:$F,$B35,'8. Uitgaven betaalverzoek'!$A:$A,Keuze_DB_Nr)</f>
        <v>0</v>
      </c>
      <c r="N35" s="116" t="str">
        <f>IF($C35&lt;&gt;"",SUMIFS('8. Uitgaven betaalverzoek'!$W:$W,'8. Uitgaven betaalverzoek'!$E:$E,$A35,'8. Uitgaven betaalverzoek'!$F:$F,$B35,'8. Uitgaven betaalverzoek'!$A:$A,Keuze_DB_Nr),"")</f>
        <v/>
      </c>
      <c r="O35" s="116" t="str">
        <f>IF($C35&lt;&gt;"",SUMIFS('8. Uitgaven betaalverzoek'!$X:$X,'8. Uitgaven betaalverzoek'!$E:$E,$A35,'8. Uitgaven betaalverzoek'!$F:$F,$B35,'8. Uitgaven betaalverzoek'!$A:$A,Keuze_DB_Nr),"")</f>
        <v/>
      </c>
      <c r="P35" s="116">
        <f t="shared" si="5"/>
        <v>0</v>
      </c>
      <c r="Q35" s="116">
        <f t="shared" si="6"/>
        <v>0</v>
      </c>
      <c r="R35" s="116">
        <f>SUMIFS('8. Uitgaven betaalverzoek'!$U:$U,'8. Uitgaven betaalverzoek'!$E:$E,$A35,'8. Uitgaven betaalverzoek'!$F:$F,$B35,'8. Uitgaven betaalverzoek'!$A:$A,Keuze_DB_Nr_BEO)</f>
        <v>0</v>
      </c>
      <c r="S35" s="116">
        <f>SUMIFS('8. Uitgaven betaalverzoek'!$V:$V,'8. Uitgaven betaalverzoek'!$E:$E,$A35,'8. Uitgaven betaalverzoek'!$F:$F,$B35,'8. Uitgaven betaalverzoek'!$A:$A,Keuze_DB_Nr_BEO)</f>
        <v>0</v>
      </c>
      <c r="T35" s="116" t="str">
        <f>IF($C35&lt;&gt;"",SUMIFS('8. Uitgaven betaalverzoek'!$W:$W,'8. Uitgaven betaalverzoek'!$E:$E,$A35,'8. Uitgaven betaalverzoek'!$F:$F,$B35,'8. Uitgaven betaalverzoek'!$A:$A,Keuze_DB_Nr_BEO),"")</f>
        <v/>
      </c>
      <c r="U35" s="116" t="str">
        <f>IF($C35&lt;&gt;"",SUMIFS('8. Uitgaven betaalverzoek'!$X:$X,'8. Uitgaven betaalverzoek'!$E:$E,$A35,'8. Uitgaven betaalverzoek'!$F:$F,$B35,'8. Uitgaven betaalverzoek'!$A:$A,Keuze_DB_Nr_BEO),"")</f>
        <v/>
      </c>
      <c r="V35" s="116">
        <f t="shared" si="2"/>
        <v>0</v>
      </c>
      <c r="W35" s="116">
        <f t="shared" si="3"/>
        <v>0</v>
      </c>
    </row>
    <row r="36" spans="1:23" x14ac:dyDescent="0.25">
      <c r="A36" s="78"/>
      <c r="B36" s="78"/>
      <c r="C36" s="105" t="str" cm="1">
        <f t="array" ref="C36">IFERROR(INDEX(Tb_KostenOpties[],MATCH(B36,Tb_KostenOptiesDB[KostenOptie],0),IFERROR(MATCH(Methode_Keuze,Tb_KostenOptiesDB[#Headers],0),2)),"")</f>
        <v/>
      </c>
      <c r="D36" s="117">
        <f>IFERROR(INDEX(Tb_ProjectKosten[],MATCH($B36,Tb_ProjectKosten[Begroting],0),6),0)</f>
        <v>0</v>
      </c>
      <c r="E36" s="115">
        <f>SUMIFS('8. Uitgaven betaalverzoek'!$U:$U,'8. Uitgaven betaalverzoek'!$E:$E,$A36,'8. Uitgaven betaalverzoek'!$F:$F,$B36)</f>
        <v>0</v>
      </c>
      <c r="F36" s="115">
        <f>SUMIFS('8. Uitgaven betaalverzoek'!$V:$V,'8. Uitgaven betaalverzoek'!$E:$E,$A36,'8. Uitgaven betaalverzoek'!$F:$F,$B36)</f>
        <v>0</v>
      </c>
      <c r="G36" s="115" t="str">
        <f>IF(C36&lt;&gt;"",SUMIFS('8. Uitgaven betaalverzoek'!$W:$W,'8. Uitgaven betaalverzoek'!$E:$E,$A36,'8. Uitgaven betaalverzoek'!$F:$F,$B36),"")</f>
        <v/>
      </c>
      <c r="H36" s="115" t="str">
        <f>IF(C36&lt;&gt;"",SUMIFS('8. Uitgaven betaalverzoek'!$X:$X,'8. Uitgaven betaalverzoek'!$E:$E,$A36,'8. Uitgaven betaalverzoek'!$F:$F,$B36),"")</f>
        <v/>
      </c>
      <c r="I36" s="117" t="str">
        <f>IFERROR(VLOOKUP(A36,Lijsten!$AD:$AE,2,0),"")</f>
        <v/>
      </c>
      <c r="J36" s="115">
        <f t="shared" si="4"/>
        <v>0</v>
      </c>
      <c r="K36" s="115">
        <f t="shared" si="1"/>
        <v>0</v>
      </c>
      <c r="L36" s="115">
        <f>SUMIFS('8. Uitgaven betaalverzoek'!$U:$U,'8. Uitgaven betaalverzoek'!$E:$E,$A36,'8. Uitgaven betaalverzoek'!$F:$F,$B36,'8. Uitgaven betaalverzoek'!$A:$A,Keuze_DB_Nr)</f>
        <v>0</v>
      </c>
      <c r="M36" s="115">
        <f>SUMIFS('8. Uitgaven betaalverzoek'!$V:$V,'8. Uitgaven betaalverzoek'!$E:$E,$A36,'8. Uitgaven betaalverzoek'!$F:$F,$B36,'8. Uitgaven betaalverzoek'!$A:$A,Keuze_DB_Nr)</f>
        <v>0</v>
      </c>
      <c r="N36" s="115" t="str">
        <f>IF($C36&lt;&gt;"",SUMIFS('8. Uitgaven betaalverzoek'!$W:$W,'8. Uitgaven betaalverzoek'!$E:$E,$A36,'8. Uitgaven betaalverzoek'!$F:$F,$B36,'8. Uitgaven betaalverzoek'!$A:$A,Keuze_DB_Nr),"")</f>
        <v/>
      </c>
      <c r="O36" s="115" t="str">
        <f>IF($C36&lt;&gt;"",SUMIFS('8. Uitgaven betaalverzoek'!$X:$X,'8. Uitgaven betaalverzoek'!$E:$E,$A36,'8. Uitgaven betaalverzoek'!$F:$F,$B36,'8. Uitgaven betaalverzoek'!$A:$A,Keuze_DB_Nr),"")</f>
        <v/>
      </c>
      <c r="P36" s="115">
        <f t="shared" si="5"/>
        <v>0</v>
      </c>
      <c r="Q36" s="115">
        <f t="shared" si="6"/>
        <v>0</v>
      </c>
      <c r="R36" s="115">
        <f>SUMIFS('8. Uitgaven betaalverzoek'!$U:$U,'8. Uitgaven betaalverzoek'!$E:$E,$A36,'8. Uitgaven betaalverzoek'!$F:$F,$B36,'8. Uitgaven betaalverzoek'!$A:$A,Keuze_DB_Nr_BEO)</f>
        <v>0</v>
      </c>
      <c r="S36" s="115">
        <f>SUMIFS('8. Uitgaven betaalverzoek'!$V:$V,'8. Uitgaven betaalverzoek'!$E:$E,$A36,'8. Uitgaven betaalverzoek'!$F:$F,$B36,'8. Uitgaven betaalverzoek'!$A:$A,Keuze_DB_Nr_BEO)</f>
        <v>0</v>
      </c>
      <c r="T36" s="115" t="str">
        <f>IF($C36&lt;&gt;"",SUMIFS('8. Uitgaven betaalverzoek'!$W:$W,'8. Uitgaven betaalverzoek'!$E:$E,$A36,'8. Uitgaven betaalverzoek'!$F:$F,$B36,'8. Uitgaven betaalverzoek'!$A:$A,Keuze_DB_Nr_BEO),"")</f>
        <v/>
      </c>
      <c r="U36" s="115" t="str">
        <f>IF($C36&lt;&gt;"",SUMIFS('8. Uitgaven betaalverzoek'!$X:$X,'8. Uitgaven betaalverzoek'!$E:$E,$A36,'8. Uitgaven betaalverzoek'!$F:$F,$B36,'8. Uitgaven betaalverzoek'!$A:$A,Keuze_DB_Nr_BEO),"")</f>
        <v/>
      </c>
      <c r="V36" s="115">
        <f t="shared" si="2"/>
        <v>0</v>
      </c>
      <c r="W36" s="115">
        <f t="shared" si="3"/>
        <v>0</v>
      </c>
    </row>
    <row r="37" spans="1:23" x14ac:dyDescent="0.25">
      <c r="A37" s="18"/>
      <c r="B37" s="18"/>
      <c r="C37" s="106" t="str" cm="1">
        <f t="array" ref="C37">IFERROR(INDEX(Tb_KostenOpties[],MATCH(B37,Tb_KostenOptiesDB[KostenOptie],0),IFERROR(MATCH(Methode_Keuze,Tb_KostenOptiesDB[#Headers],0),2)),"")</f>
        <v/>
      </c>
      <c r="D37" s="118">
        <f>IFERROR(INDEX(Tb_ProjectKosten[],MATCH($B37,Tb_ProjectKosten[Begroting],0),6),0)</f>
        <v>0</v>
      </c>
      <c r="E37" s="116">
        <f>SUMIFS('8. Uitgaven betaalverzoek'!$U:$U,'8. Uitgaven betaalverzoek'!$E:$E,$A37,'8. Uitgaven betaalverzoek'!$F:$F,$B37)</f>
        <v>0</v>
      </c>
      <c r="F37" s="116">
        <f>SUMIFS('8. Uitgaven betaalverzoek'!$V:$V,'8. Uitgaven betaalverzoek'!$E:$E,$A37,'8. Uitgaven betaalverzoek'!$F:$F,$B37)</f>
        <v>0</v>
      </c>
      <c r="G37" s="116" t="str">
        <f>IF(C37&lt;&gt;"",SUMIFS('8. Uitgaven betaalverzoek'!$W:$W,'8. Uitgaven betaalverzoek'!$E:$E,$A37,'8. Uitgaven betaalverzoek'!$F:$F,$B37),"")</f>
        <v/>
      </c>
      <c r="H37" s="116" t="str">
        <f>IF(C37&lt;&gt;"",SUMIFS('8. Uitgaven betaalverzoek'!$X:$X,'8. Uitgaven betaalverzoek'!$E:$E,$A37,'8. Uitgaven betaalverzoek'!$F:$F,$B37),"")</f>
        <v/>
      </c>
      <c r="I37" s="118" t="str">
        <f>IFERROR(VLOOKUP(A37,Lijsten!$AD:$AE,2,0),"")</f>
        <v/>
      </c>
      <c r="J37" s="116">
        <f t="shared" si="4"/>
        <v>0</v>
      </c>
      <c r="K37" s="116">
        <f t="shared" si="1"/>
        <v>0</v>
      </c>
      <c r="L37" s="116">
        <f>SUMIFS('8. Uitgaven betaalverzoek'!$U:$U,'8. Uitgaven betaalverzoek'!$E:$E,$A37,'8. Uitgaven betaalverzoek'!$F:$F,$B37,'8. Uitgaven betaalverzoek'!$A:$A,Keuze_DB_Nr)</f>
        <v>0</v>
      </c>
      <c r="M37" s="116">
        <f>SUMIFS('8. Uitgaven betaalverzoek'!$V:$V,'8. Uitgaven betaalverzoek'!$E:$E,$A37,'8. Uitgaven betaalverzoek'!$F:$F,$B37,'8. Uitgaven betaalverzoek'!$A:$A,Keuze_DB_Nr)</f>
        <v>0</v>
      </c>
      <c r="N37" s="116" t="str">
        <f>IF($C37&lt;&gt;"",SUMIFS('8. Uitgaven betaalverzoek'!$W:$W,'8. Uitgaven betaalverzoek'!$E:$E,$A37,'8. Uitgaven betaalverzoek'!$F:$F,$B37,'8. Uitgaven betaalverzoek'!$A:$A,Keuze_DB_Nr),"")</f>
        <v/>
      </c>
      <c r="O37" s="116" t="str">
        <f>IF($C37&lt;&gt;"",SUMIFS('8. Uitgaven betaalverzoek'!$X:$X,'8. Uitgaven betaalverzoek'!$E:$E,$A37,'8. Uitgaven betaalverzoek'!$F:$F,$B37,'8. Uitgaven betaalverzoek'!$A:$A,Keuze_DB_Nr),"")</f>
        <v/>
      </c>
      <c r="P37" s="116">
        <f t="shared" si="5"/>
        <v>0</v>
      </c>
      <c r="Q37" s="116">
        <f t="shared" si="6"/>
        <v>0</v>
      </c>
      <c r="R37" s="116">
        <f>SUMIFS('8. Uitgaven betaalverzoek'!$U:$U,'8. Uitgaven betaalverzoek'!$E:$E,$A37,'8. Uitgaven betaalverzoek'!$F:$F,$B37,'8. Uitgaven betaalverzoek'!$A:$A,Keuze_DB_Nr_BEO)</f>
        <v>0</v>
      </c>
      <c r="S37" s="116">
        <f>SUMIFS('8. Uitgaven betaalverzoek'!$V:$V,'8. Uitgaven betaalverzoek'!$E:$E,$A37,'8. Uitgaven betaalverzoek'!$F:$F,$B37,'8. Uitgaven betaalverzoek'!$A:$A,Keuze_DB_Nr_BEO)</f>
        <v>0</v>
      </c>
      <c r="T37" s="116" t="str">
        <f>IF($C37&lt;&gt;"",SUMIFS('8. Uitgaven betaalverzoek'!$W:$W,'8. Uitgaven betaalverzoek'!$E:$E,$A37,'8. Uitgaven betaalverzoek'!$F:$F,$B37,'8. Uitgaven betaalverzoek'!$A:$A,Keuze_DB_Nr_BEO),"")</f>
        <v/>
      </c>
      <c r="U37" s="116" t="str">
        <f>IF($C37&lt;&gt;"",SUMIFS('8. Uitgaven betaalverzoek'!$X:$X,'8. Uitgaven betaalverzoek'!$E:$E,$A37,'8. Uitgaven betaalverzoek'!$F:$F,$B37,'8. Uitgaven betaalverzoek'!$A:$A,Keuze_DB_Nr_BEO),"")</f>
        <v/>
      </c>
      <c r="V37" s="116">
        <f t="shared" si="2"/>
        <v>0</v>
      </c>
      <c r="W37" s="116">
        <f t="shared" si="3"/>
        <v>0</v>
      </c>
    </row>
    <row r="38" spans="1:23" x14ac:dyDescent="0.25">
      <c r="A38" s="78"/>
      <c r="B38" s="78"/>
      <c r="C38" s="105" t="str" cm="1">
        <f t="array" ref="C38">IFERROR(INDEX(Tb_KostenOpties[],MATCH(B38,Tb_KostenOptiesDB[KostenOptie],0),IFERROR(MATCH(Methode_Keuze,Tb_KostenOptiesDB[#Headers],0),2)),"")</f>
        <v/>
      </c>
      <c r="D38" s="117">
        <f>IFERROR(INDEX(Tb_ProjectKosten[],MATCH($B38,Tb_ProjectKosten[Begroting],0),6),0)</f>
        <v>0</v>
      </c>
      <c r="E38" s="115">
        <f>SUMIFS('8. Uitgaven betaalverzoek'!$U:$U,'8. Uitgaven betaalverzoek'!$E:$E,$A38,'8. Uitgaven betaalverzoek'!$F:$F,$B38)</f>
        <v>0</v>
      </c>
      <c r="F38" s="115">
        <f>SUMIFS('8. Uitgaven betaalverzoek'!$V:$V,'8. Uitgaven betaalverzoek'!$E:$E,$A38,'8. Uitgaven betaalverzoek'!$F:$F,$B38)</f>
        <v>0</v>
      </c>
      <c r="G38" s="115" t="str">
        <f>IF(C38&lt;&gt;"",SUMIFS('8. Uitgaven betaalverzoek'!$W:$W,'8. Uitgaven betaalverzoek'!$E:$E,$A38,'8. Uitgaven betaalverzoek'!$F:$F,$B38),"")</f>
        <v/>
      </c>
      <c r="H38" s="115" t="str">
        <f>IF(C38&lt;&gt;"",SUMIFS('8. Uitgaven betaalverzoek'!$X:$X,'8. Uitgaven betaalverzoek'!$E:$E,$A38,'8. Uitgaven betaalverzoek'!$F:$F,$B38),"")</f>
        <v/>
      </c>
      <c r="I38" s="117" t="str">
        <f>IFERROR(VLOOKUP(A38,Lijsten!$AD:$AE,2,0),"")</f>
        <v/>
      </c>
      <c r="J38" s="115">
        <f t="shared" si="4"/>
        <v>0</v>
      </c>
      <c r="K38" s="115">
        <f t="shared" si="1"/>
        <v>0</v>
      </c>
      <c r="L38" s="115">
        <f>SUMIFS('8. Uitgaven betaalverzoek'!$U:$U,'8. Uitgaven betaalverzoek'!$E:$E,$A38,'8. Uitgaven betaalverzoek'!$F:$F,$B38,'8. Uitgaven betaalverzoek'!$A:$A,Keuze_DB_Nr)</f>
        <v>0</v>
      </c>
      <c r="M38" s="115">
        <f>SUMIFS('8. Uitgaven betaalverzoek'!$V:$V,'8. Uitgaven betaalverzoek'!$E:$E,$A38,'8. Uitgaven betaalverzoek'!$F:$F,$B38,'8. Uitgaven betaalverzoek'!$A:$A,Keuze_DB_Nr)</f>
        <v>0</v>
      </c>
      <c r="N38" s="115" t="str">
        <f>IF($C38&lt;&gt;"",SUMIFS('8. Uitgaven betaalverzoek'!$W:$W,'8. Uitgaven betaalverzoek'!$E:$E,$A38,'8. Uitgaven betaalverzoek'!$F:$F,$B38,'8. Uitgaven betaalverzoek'!$A:$A,Keuze_DB_Nr),"")</f>
        <v/>
      </c>
      <c r="O38" s="115" t="str">
        <f>IF($C38&lt;&gt;"",SUMIFS('8. Uitgaven betaalverzoek'!$X:$X,'8. Uitgaven betaalverzoek'!$E:$E,$A38,'8. Uitgaven betaalverzoek'!$F:$F,$B38,'8. Uitgaven betaalverzoek'!$A:$A,Keuze_DB_Nr),"")</f>
        <v/>
      </c>
      <c r="P38" s="115">
        <f t="shared" si="5"/>
        <v>0</v>
      </c>
      <c r="Q38" s="115">
        <f t="shared" si="6"/>
        <v>0</v>
      </c>
      <c r="R38" s="115">
        <f>SUMIFS('8. Uitgaven betaalverzoek'!$U:$U,'8. Uitgaven betaalverzoek'!$E:$E,$A38,'8. Uitgaven betaalverzoek'!$F:$F,$B38,'8. Uitgaven betaalverzoek'!$A:$A,Keuze_DB_Nr_BEO)</f>
        <v>0</v>
      </c>
      <c r="S38" s="115">
        <f>SUMIFS('8. Uitgaven betaalverzoek'!$V:$V,'8. Uitgaven betaalverzoek'!$E:$E,$A38,'8. Uitgaven betaalverzoek'!$F:$F,$B38,'8. Uitgaven betaalverzoek'!$A:$A,Keuze_DB_Nr_BEO)</f>
        <v>0</v>
      </c>
      <c r="T38" s="115" t="str">
        <f>IF($C38&lt;&gt;"",SUMIFS('8. Uitgaven betaalverzoek'!$W:$W,'8. Uitgaven betaalverzoek'!$E:$E,$A38,'8. Uitgaven betaalverzoek'!$F:$F,$B38,'8. Uitgaven betaalverzoek'!$A:$A,Keuze_DB_Nr_BEO),"")</f>
        <v/>
      </c>
      <c r="U38" s="115" t="str">
        <f>IF($C38&lt;&gt;"",SUMIFS('8. Uitgaven betaalverzoek'!$X:$X,'8. Uitgaven betaalverzoek'!$E:$E,$A38,'8. Uitgaven betaalverzoek'!$F:$F,$B38,'8. Uitgaven betaalverzoek'!$A:$A,Keuze_DB_Nr_BEO),"")</f>
        <v/>
      </c>
      <c r="V38" s="115">
        <f t="shared" si="2"/>
        <v>0</v>
      </c>
      <c r="W38" s="115">
        <f t="shared" si="3"/>
        <v>0</v>
      </c>
    </row>
    <row r="39" spans="1:23" x14ac:dyDescent="0.25">
      <c r="A39" s="18"/>
      <c r="B39" s="18"/>
      <c r="C39" s="106" t="str" cm="1">
        <f t="array" ref="C39">IFERROR(INDEX(Tb_KostenOpties[],MATCH(B39,Tb_KostenOptiesDB[KostenOptie],0),IFERROR(MATCH(Methode_Keuze,Tb_KostenOptiesDB[#Headers],0),2)),"")</f>
        <v/>
      </c>
      <c r="D39" s="118">
        <f>IFERROR(INDEX(Tb_ProjectKosten[],MATCH($B39,Tb_ProjectKosten[Begroting],0),6),0)</f>
        <v>0</v>
      </c>
      <c r="E39" s="116">
        <f>SUMIFS('8. Uitgaven betaalverzoek'!$U:$U,'8. Uitgaven betaalverzoek'!$E:$E,$A39,'8. Uitgaven betaalverzoek'!$F:$F,$B39)</f>
        <v>0</v>
      </c>
      <c r="F39" s="116">
        <f>SUMIFS('8. Uitgaven betaalverzoek'!$V:$V,'8. Uitgaven betaalverzoek'!$E:$E,$A39,'8. Uitgaven betaalverzoek'!$F:$F,$B39)</f>
        <v>0</v>
      </c>
      <c r="G39" s="116" t="str">
        <f>IF(C39&lt;&gt;"",SUMIFS('8. Uitgaven betaalverzoek'!$W:$W,'8. Uitgaven betaalverzoek'!$E:$E,$A39,'8. Uitgaven betaalverzoek'!$F:$F,$B39),"")</f>
        <v/>
      </c>
      <c r="H39" s="116" t="str">
        <f>IF(C39&lt;&gt;"",SUMIFS('8. Uitgaven betaalverzoek'!$X:$X,'8. Uitgaven betaalverzoek'!$E:$E,$A39,'8. Uitgaven betaalverzoek'!$F:$F,$B39),"")</f>
        <v/>
      </c>
      <c r="I39" s="118" t="str">
        <f>IFERROR(VLOOKUP(A39,Lijsten!$AD:$AE,2,0),"")</f>
        <v/>
      </c>
      <c r="J39" s="116">
        <f t="shared" si="4"/>
        <v>0</v>
      </c>
      <c r="K39" s="116">
        <f t="shared" si="1"/>
        <v>0</v>
      </c>
      <c r="L39" s="116">
        <f>SUMIFS('8. Uitgaven betaalverzoek'!$U:$U,'8. Uitgaven betaalverzoek'!$E:$E,$A39,'8. Uitgaven betaalverzoek'!$F:$F,$B39,'8. Uitgaven betaalverzoek'!$A:$A,Keuze_DB_Nr)</f>
        <v>0</v>
      </c>
      <c r="M39" s="116">
        <f>SUMIFS('8. Uitgaven betaalverzoek'!$V:$V,'8. Uitgaven betaalverzoek'!$E:$E,$A39,'8. Uitgaven betaalverzoek'!$F:$F,$B39,'8. Uitgaven betaalverzoek'!$A:$A,Keuze_DB_Nr)</f>
        <v>0</v>
      </c>
      <c r="N39" s="116" t="str">
        <f>IF($C39&lt;&gt;"",SUMIFS('8. Uitgaven betaalverzoek'!$W:$W,'8. Uitgaven betaalverzoek'!$E:$E,$A39,'8. Uitgaven betaalverzoek'!$F:$F,$B39,'8. Uitgaven betaalverzoek'!$A:$A,Keuze_DB_Nr),"")</f>
        <v/>
      </c>
      <c r="O39" s="116" t="str">
        <f>IF($C39&lt;&gt;"",SUMIFS('8. Uitgaven betaalverzoek'!$X:$X,'8. Uitgaven betaalverzoek'!$E:$E,$A39,'8. Uitgaven betaalverzoek'!$F:$F,$B39,'8. Uitgaven betaalverzoek'!$A:$A,Keuze_DB_Nr),"")</f>
        <v/>
      </c>
      <c r="P39" s="116">
        <f t="shared" si="5"/>
        <v>0</v>
      </c>
      <c r="Q39" s="116">
        <f t="shared" si="6"/>
        <v>0</v>
      </c>
      <c r="R39" s="116">
        <f>SUMIFS('8. Uitgaven betaalverzoek'!$U:$U,'8. Uitgaven betaalverzoek'!$E:$E,$A39,'8. Uitgaven betaalverzoek'!$F:$F,$B39,'8. Uitgaven betaalverzoek'!$A:$A,Keuze_DB_Nr_BEO)</f>
        <v>0</v>
      </c>
      <c r="S39" s="116">
        <f>SUMIFS('8. Uitgaven betaalverzoek'!$V:$V,'8. Uitgaven betaalverzoek'!$E:$E,$A39,'8. Uitgaven betaalverzoek'!$F:$F,$B39,'8. Uitgaven betaalverzoek'!$A:$A,Keuze_DB_Nr_BEO)</f>
        <v>0</v>
      </c>
      <c r="T39" s="116" t="str">
        <f>IF($C39&lt;&gt;"",SUMIFS('8. Uitgaven betaalverzoek'!$W:$W,'8. Uitgaven betaalverzoek'!$E:$E,$A39,'8. Uitgaven betaalverzoek'!$F:$F,$B39,'8. Uitgaven betaalverzoek'!$A:$A,Keuze_DB_Nr_BEO),"")</f>
        <v/>
      </c>
      <c r="U39" s="116" t="str">
        <f>IF($C39&lt;&gt;"",SUMIFS('8. Uitgaven betaalverzoek'!$X:$X,'8. Uitgaven betaalverzoek'!$E:$E,$A39,'8. Uitgaven betaalverzoek'!$F:$F,$B39,'8. Uitgaven betaalverzoek'!$A:$A,Keuze_DB_Nr_BEO),"")</f>
        <v/>
      </c>
      <c r="V39" s="116">
        <f t="shared" si="2"/>
        <v>0</v>
      </c>
      <c r="W39" s="116">
        <f t="shared" si="3"/>
        <v>0</v>
      </c>
    </row>
    <row r="40" spans="1:23" x14ac:dyDescent="0.25">
      <c r="A40" s="78"/>
      <c r="B40" s="78"/>
      <c r="C40" s="105" t="str" cm="1">
        <f t="array" ref="C40">IFERROR(INDEX(Tb_KostenOpties[],MATCH(B40,Tb_KostenOptiesDB[KostenOptie],0),IFERROR(MATCH(Methode_Keuze,Tb_KostenOptiesDB[#Headers],0),2)),"")</f>
        <v/>
      </c>
      <c r="D40" s="117">
        <f>IFERROR(INDEX(Tb_ProjectKosten[],MATCH($B40,Tb_ProjectKosten[Begroting],0),6),0)</f>
        <v>0</v>
      </c>
      <c r="E40" s="115">
        <f>SUMIFS('8. Uitgaven betaalverzoek'!$U:$U,'8. Uitgaven betaalverzoek'!$E:$E,$A40,'8. Uitgaven betaalverzoek'!$F:$F,$B40)</f>
        <v>0</v>
      </c>
      <c r="F40" s="115">
        <f>SUMIFS('8. Uitgaven betaalverzoek'!$V:$V,'8. Uitgaven betaalverzoek'!$E:$E,$A40,'8. Uitgaven betaalverzoek'!$F:$F,$B40)</f>
        <v>0</v>
      </c>
      <c r="G40" s="115" t="str">
        <f>IF(C40&lt;&gt;"",SUMIFS('8. Uitgaven betaalverzoek'!$W:$W,'8. Uitgaven betaalverzoek'!$E:$E,$A40,'8. Uitgaven betaalverzoek'!$F:$F,$B40),"")</f>
        <v/>
      </c>
      <c r="H40" s="115" t="str">
        <f>IF(C40&lt;&gt;"",SUMIFS('8. Uitgaven betaalverzoek'!$X:$X,'8. Uitgaven betaalverzoek'!$E:$E,$A40,'8. Uitgaven betaalverzoek'!$F:$F,$B40),"")</f>
        <v/>
      </c>
      <c r="I40" s="117" t="str">
        <f>IFERROR(VLOOKUP(A40,Lijsten!$AD:$AE,2,0),"")</f>
        <v/>
      </c>
      <c r="J40" s="115">
        <f t="shared" si="4"/>
        <v>0</v>
      </c>
      <c r="K40" s="115">
        <f t="shared" si="1"/>
        <v>0</v>
      </c>
      <c r="L40" s="115">
        <f>SUMIFS('8. Uitgaven betaalverzoek'!$U:$U,'8. Uitgaven betaalverzoek'!$E:$E,$A40,'8. Uitgaven betaalverzoek'!$F:$F,$B40,'8. Uitgaven betaalverzoek'!$A:$A,Keuze_DB_Nr)</f>
        <v>0</v>
      </c>
      <c r="M40" s="115">
        <f>SUMIFS('8. Uitgaven betaalverzoek'!$V:$V,'8. Uitgaven betaalverzoek'!$E:$E,$A40,'8. Uitgaven betaalverzoek'!$F:$F,$B40,'8. Uitgaven betaalverzoek'!$A:$A,Keuze_DB_Nr)</f>
        <v>0</v>
      </c>
      <c r="N40" s="115" t="str">
        <f>IF($C40&lt;&gt;"",SUMIFS('8. Uitgaven betaalverzoek'!$W:$W,'8. Uitgaven betaalverzoek'!$E:$E,$A40,'8. Uitgaven betaalverzoek'!$F:$F,$B40,'8. Uitgaven betaalverzoek'!$A:$A,Keuze_DB_Nr),"")</f>
        <v/>
      </c>
      <c r="O40" s="115" t="str">
        <f>IF($C40&lt;&gt;"",SUMIFS('8. Uitgaven betaalverzoek'!$X:$X,'8. Uitgaven betaalverzoek'!$E:$E,$A40,'8. Uitgaven betaalverzoek'!$F:$F,$B40,'8. Uitgaven betaalverzoek'!$A:$A,Keuze_DB_Nr),"")</f>
        <v/>
      </c>
      <c r="P40" s="115">
        <f t="shared" si="5"/>
        <v>0</v>
      </c>
      <c r="Q40" s="115">
        <f t="shared" si="6"/>
        <v>0</v>
      </c>
      <c r="R40" s="115">
        <f>SUMIFS('8. Uitgaven betaalverzoek'!$U:$U,'8. Uitgaven betaalverzoek'!$E:$E,$A40,'8. Uitgaven betaalverzoek'!$F:$F,$B40,'8. Uitgaven betaalverzoek'!$A:$A,Keuze_DB_Nr_BEO)</f>
        <v>0</v>
      </c>
      <c r="S40" s="115">
        <f>SUMIFS('8. Uitgaven betaalverzoek'!$V:$V,'8. Uitgaven betaalverzoek'!$E:$E,$A40,'8. Uitgaven betaalverzoek'!$F:$F,$B40,'8. Uitgaven betaalverzoek'!$A:$A,Keuze_DB_Nr_BEO)</f>
        <v>0</v>
      </c>
      <c r="T40" s="115" t="str">
        <f>IF($C40&lt;&gt;"",SUMIFS('8. Uitgaven betaalverzoek'!$W:$W,'8. Uitgaven betaalverzoek'!$E:$E,$A40,'8. Uitgaven betaalverzoek'!$F:$F,$B40,'8. Uitgaven betaalverzoek'!$A:$A,Keuze_DB_Nr_BEO),"")</f>
        <v/>
      </c>
      <c r="U40" s="115" t="str">
        <f>IF($C40&lt;&gt;"",SUMIFS('8. Uitgaven betaalverzoek'!$X:$X,'8. Uitgaven betaalverzoek'!$E:$E,$A40,'8. Uitgaven betaalverzoek'!$F:$F,$B40,'8. Uitgaven betaalverzoek'!$A:$A,Keuze_DB_Nr_BEO),"")</f>
        <v/>
      </c>
      <c r="V40" s="115">
        <f t="shared" si="2"/>
        <v>0</v>
      </c>
      <c r="W40" s="115">
        <f t="shared" si="3"/>
        <v>0</v>
      </c>
    </row>
    <row r="41" spans="1:23" x14ac:dyDescent="0.25">
      <c r="A41" s="18"/>
      <c r="B41" s="18"/>
      <c r="C41" s="106" t="str" cm="1">
        <f t="array" ref="C41">IFERROR(INDEX(Tb_KostenOpties[],MATCH(B41,Tb_KostenOptiesDB[KostenOptie],0),IFERROR(MATCH(Methode_Keuze,Tb_KostenOptiesDB[#Headers],0),2)),"")</f>
        <v/>
      </c>
      <c r="D41" s="118">
        <f>IFERROR(INDEX(Tb_ProjectKosten[],MATCH($B41,Tb_ProjectKosten[Begroting],0),6),0)</f>
        <v>0</v>
      </c>
      <c r="E41" s="116">
        <f>SUMIFS('8. Uitgaven betaalverzoek'!$U:$U,'8. Uitgaven betaalverzoek'!$E:$E,$A41,'8. Uitgaven betaalverzoek'!$F:$F,$B41)</f>
        <v>0</v>
      </c>
      <c r="F41" s="116">
        <f>SUMIFS('8. Uitgaven betaalverzoek'!$V:$V,'8. Uitgaven betaalverzoek'!$E:$E,$A41,'8. Uitgaven betaalverzoek'!$F:$F,$B41)</f>
        <v>0</v>
      </c>
      <c r="G41" s="116" t="str">
        <f>IF(C41&lt;&gt;"",SUMIFS('8. Uitgaven betaalverzoek'!$W:$W,'8. Uitgaven betaalverzoek'!$E:$E,$A41,'8. Uitgaven betaalverzoek'!$F:$F,$B41),"")</f>
        <v/>
      </c>
      <c r="H41" s="116" t="str">
        <f>IF(C41&lt;&gt;"",SUMIFS('8. Uitgaven betaalverzoek'!$X:$X,'8. Uitgaven betaalverzoek'!$E:$E,$A41,'8. Uitgaven betaalverzoek'!$F:$F,$B41),"")</f>
        <v/>
      </c>
      <c r="I41" s="118" t="str">
        <f>IFERROR(VLOOKUP(A41,Lijsten!$AD:$AE,2,0),"")</f>
        <v/>
      </c>
      <c r="J41" s="116">
        <f t="shared" si="4"/>
        <v>0</v>
      </c>
      <c r="K41" s="116">
        <f t="shared" si="1"/>
        <v>0</v>
      </c>
      <c r="L41" s="116">
        <f>SUMIFS('8. Uitgaven betaalverzoek'!$U:$U,'8. Uitgaven betaalverzoek'!$E:$E,$A41,'8. Uitgaven betaalverzoek'!$F:$F,$B41,'8. Uitgaven betaalverzoek'!$A:$A,Keuze_DB_Nr)</f>
        <v>0</v>
      </c>
      <c r="M41" s="116">
        <f>SUMIFS('8. Uitgaven betaalverzoek'!$V:$V,'8. Uitgaven betaalverzoek'!$E:$E,$A41,'8. Uitgaven betaalverzoek'!$F:$F,$B41,'8. Uitgaven betaalverzoek'!$A:$A,Keuze_DB_Nr)</f>
        <v>0</v>
      </c>
      <c r="N41" s="116" t="str">
        <f>IF($C41&lt;&gt;"",SUMIFS('8. Uitgaven betaalverzoek'!$W:$W,'8. Uitgaven betaalverzoek'!$E:$E,$A41,'8. Uitgaven betaalverzoek'!$F:$F,$B41,'8. Uitgaven betaalverzoek'!$A:$A,Keuze_DB_Nr),"")</f>
        <v/>
      </c>
      <c r="O41" s="116" t="str">
        <f>IF($C41&lt;&gt;"",SUMIFS('8. Uitgaven betaalverzoek'!$X:$X,'8. Uitgaven betaalverzoek'!$E:$E,$A41,'8. Uitgaven betaalverzoek'!$F:$F,$B41,'8. Uitgaven betaalverzoek'!$A:$A,Keuze_DB_Nr),"")</f>
        <v/>
      </c>
      <c r="P41" s="116">
        <f t="shared" si="5"/>
        <v>0</v>
      </c>
      <c r="Q41" s="116">
        <f t="shared" si="6"/>
        <v>0</v>
      </c>
      <c r="R41" s="116">
        <f>SUMIFS('8. Uitgaven betaalverzoek'!$U:$U,'8. Uitgaven betaalverzoek'!$E:$E,$A41,'8. Uitgaven betaalverzoek'!$F:$F,$B41,'8. Uitgaven betaalverzoek'!$A:$A,Keuze_DB_Nr_BEO)</f>
        <v>0</v>
      </c>
      <c r="S41" s="116">
        <f>SUMIFS('8. Uitgaven betaalverzoek'!$V:$V,'8. Uitgaven betaalverzoek'!$E:$E,$A41,'8. Uitgaven betaalverzoek'!$F:$F,$B41,'8. Uitgaven betaalverzoek'!$A:$A,Keuze_DB_Nr_BEO)</f>
        <v>0</v>
      </c>
      <c r="T41" s="116" t="str">
        <f>IF($C41&lt;&gt;"",SUMIFS('8. Uitgaven betaalverzoek'!$W:$W,'8. Uitgaven betaalverzoek'!$E:$E,$A41,'8. Uitgaven betaalverzoek'!$F:$F,$B41,'8. Uitgaven betaalverzoek'!$A:$A,Keuze_DB_Nr_BEO),"")</f>
        <v/>
      </c>
      <c r="U41" s="116" t="str">
        <f>IF($C41&lt;&gt;"",SUMIFS('8. Uitgaven betaalverzoek'!$X:$X,'8. Uitgaven betaalverzoek'!$E:$E,$A41,'8. Uitgaven betaalverzoek'!$F:$F,$B41,'8. Uitgaven betaalverzoek'!$A:$A,Keuze_DB_Nr_BEO),"")</f>
        <v/>
      </c>
      <c r="V41" s="116">
        <f t="shared" si="2"/>
        <v>0</v>
      </c>
      <c r="W41" s="116">
        <f t="shared" si="3"/>
        <v>0</v>
      </c>
    </row>
    <row r="42" spans="1:23" x14ac:dyDescent="0.25">
      <c r="A42" s="78"/>
      <c r="B42" s="78"/>
      <c r="C42" s="105" t="str" cm="1">
        <f t="array" ref="C42">IFERROR(INDEX(Tb_KostenOpties[],MATCH(B42,Tb_KostenOptiesDB[KostenOptie],0),IFERROR(MATCH(Methode_Keuze,Tb_KostenOptiesDB[#Headers],0),2)),"")</f>
        <v/>
      </c>
      <c r="D42" s="117">
        <f>IFERROR(INDEX(Tb_ProjectKosten[],MATCH($B42,Tb_ProjectKosten[Begroting],0),6),0)</f>
        <v>0</v>
      </c>
      <c r="E42" s="115">
        <f>SUMIFS('8. Uitgaven betaalverzoek'!$U:$U,'8. Uitgaven betaalverzoek'!$E:$E,$A42,'8. Uitgaven betaalverzoek'!$F:$F,$B42)</f>
        <v>0</v>
      </c>
      <c r="F42" s="115">
        <f>SUMIFS('8. Uitgaven betaalverzoek'!$V:$V,'8. Uitgaven betaalverzoek'!$E:$E,$A42,'8. Uitgaven betaalverzoek'!$F:$F,$B42)</f>
        <v>0</v>
      </c>
      <c r="G42" s="115" t="str">
        <f>IF(C42&lt;&gt;"",SUMIFS('8. Uitgaven betaalverzoek'!$W:$W,'8. Uitgaven betaalverzoek'!$E:$E,$A42,'8. Uitgaven betaalverzoek'!$F:$F,$B42),"")</f>
        <v/>
      </c>
      <c r="H42" s="115" t="str">
        <f>IF(C42&lt;&gt;"",SUMIFS('8. Uitgaven betaalverzoek'!$X:$X,'8. Uitgaven betaalverzoek'!$E:$E,$A42,'8. Uitgaven betaalverzoek'!$F:$F,$B42),"")</f>
        <v/>
      </c>
      <c r="I42" s="117" t="str">
        <f>IFERROR(VLOOKUP(A42,Lijsten!$AD:$AE,2,0),"")</f>
        <v/>
      </c>
      <c r="J42" s="115">
        <f t="shared" si="4"/>
        <v>0</v>
      </c>
      <c r="K42" s="115">
        <f t="shared" si="1"/>
        <v>0</v>
      </c>
      <c r="L42" s="115">
        <f>SUMIFS('8. Uitgaven betaalverzoek'!$U:$U,'8. Uitgaven betaalverzoek'!$E:$E,$A42,'8. Uitgaven betaalverzoek'!$F:$F,$B42,'8. Uitgaven betaalverzoek'!$A:$A,Keuze_DB_Nr)</f>
        <v>0</v>
      </c>
      <c r="M42" s="115">
        <f>SUMIFS('8. Uitgaven betaalverzoek'!$V:$V,'8. Uitgaven betaalverzoek'!$E:$E,$A42,'8. Uitgaven betaalverzoek'!$F:$F,$B42,'8. Uitgaven betaalverzoek'!$A:$A,Keuze_DB_Nr)</f>
        <v>0</v>
      </c>
      <c r="N42" s="115" t="str">
        <f>IF($C42&lt;&gt;"",SUMIFS('8. Uitgaven betaalverzoek'!$W:$W,'8. Uitgaven betaalverzoek'!$E:$E,$A42,'8. Uitgaven betaalverzoek'!$F:$F,$B42,'8. Uitgaven betaalverzoek'!$A:$A,Keuze_DB_Nr),"")</f>
        <v/>
      </c>
      <c r="O42" s="115" t="str">
        <f>IF($C42&lt;&gt;"",SUMIFS('8. Uitgaven betaalverzoek'!$X:$X,'8. Uitgaven betaalverzoek'!$E:$E,$A42,'8. Uitgaven betaalverzoek'!$F:$F,$B42,'8. Uitgaven betaalverzoek'!$A:$A,Keuze_DB_Nr),"")</f>
        <v/>
      </c>
      <c r="P42" s="115">
        <f t="shared" si="5"/>
        <v>0</v>
      </c>
      <c r="Q42" s="115">
        <f t="shared" si="6"/>
        <v>0</v>
      </c>
      <c r="R42" s="115">
        <f>SUMIFS('8. Uitgaven betaalverzoek'!$U:$U,'8. Uitgaven betaalverzoek'!$E:$E,$A42,'8. Uitgaven betaalverzoek'!$F:$F,$B42,'8. Uitgaven betaalverzoek'!$A:$A,Keuze_DB_Nr_BEO)</f>
        <v>0</v>
      </c>
      <c r="S42" s="115">
        <f>SUMIFS('8. Uitgaven betaalverzoek'!$V:$V,'8. Uitgaven betaalverzoek'!$E:$E,$A42,'8. Uitgaven betaalverzoek'!$F:$F,$B42,'8. Uitgaven betaalverzoek'!$A:$A,Keuze_DB_Nr_BEO)</f>
        <v>0</v>
      </c>
      <c r="T42" s="115" t="str">
        <f>IF($C42&lt;&gt;"",SUMIFS('8. Uitgaven betaalverzoek'!$W:$W,'8. Uitgaven betaalverzoek'!$E:$E,$A42,'8. Uitgaven betaalverzoek'!$F:$F,$B42,'8. Uitgaven betaalverzoek'!$A:$A,Keuze_DB_Nr_BEO),"")</f>
        <v/>
      </c>
      <c r="U42" s="115" t="str">
        <f>IF($C42&lt;&gt;"",SUMIFS('8. Uitgaven betaalverzoek'!$X:$X,'8. Uitgaven betaalverzoek'!$E:$E,$A42,'8. Uitgaven betaalverzoek'!$F:$F,$B42,'8. Uitgaven betaalverzoek'!$A:$A,Keuze_DB_Nr_BEO),"")</f>
        <v/>
      </c>
      <c r="V42" s="115">
        <f t="shared" si="2"/>
        <v>0</v>
      </c>
      <c r="W42" s="115">
        <f t="shared" si="3"/>
        <v>0</v>
      </c>
    </row>
    <row r="43" spans="1:23" x14ac:dyDescent="0.25">
      <c r="A43" s="18"/>
      <c r="B43" s="18"/>
      <c r="C43" s="106" t="str" cm="1">
        <f t="array" ref="C43">IFERROR(INDEX(Tb_KostenOpties[],MATCH(B43,Tb_KostenOptiesDB[KostenOptie],0),IFERROR(MATCH(Methode_Keuze,Tb_KostenOptiesDB[#Headers],0),2)),"")</f>
        <v/>
      </c>
      <c r="D43" s="118">
        <f>IFERROR(INDEX(Tb_ProjectKosten[],MATCH($B43,Tb_ProjectKosten[Begroting],0),6),0)</f>
        <v>0</v>
      </c>
      <c r="E43" s="116">
        <f>SUMIFS('8. Uitgaven betaalverzoek'!$U:$U,'8. Uitgaven betaalverzoek'!$E:$E,$A43,'8. Uitgaven betaalverzoek'!$F:$F,$B43)</f>
        <v>0</v>
      </c>
      <c r="F43" s="116">
        <f>SUMIFS('8. Uitgaven betaalverzoek'!$V:$V,'8. Uitgaven betaalverzoek'!$E:$E,$A43,'8. Uitgaven betaalverzoek'!$F:$F,$B43)</f>
        <v>0</v>
      </c>
      <c r="G43" s="116" t="str">
        <f>IF(C43&lt;&gt;"",SUMIFS('8. Uitgaven betaalverzoek'!$W:$W,'8. Uitgaven betaalverzoek'!$E:$E,$A43,'8. Uitgaven betaalverzoek'!$F:$F,$B43),"")</f>
        <v/>
      </c>
      <c r="H43" s="116" t="str">
        <f>IF(C43&lt;&gt;"",SUMIFS('8. Uitgaven betaalverzoek'!$X:$X,'8. Uitgaven betaalverzoek'!$E:$E,$A43,'8. Uitgaven betaalverzoek'!$F:$F,$B43),"")</f>
        <v/>
      </c>
      <c r="I43" s="118" t="str">
        <f>IFERROR(VLOOKUP(A43,Lijsten!$AD:$AE,2,0),"")</f>
        <v/>
      </c>
      <c r="J43" s="116">
        <f t="shared" si="4"/>
        <v>0</v>
      </c>
      <c r="K43" s="116">
        <f t="shared" si="1"/>
        <v>0</v>
      </c>
      <c r="L43" s="116">
        <f>SUMIFS('8. Uitgaven betaalverzoek'!$U:$U,'8. Uitgaven betaalverzoek'!$E:$E,$A43,'8. Uitgaven betaalverzoek'!$F:$F,$B43,'8. Uitgaven betaalverzoek'!$A:$A,Keuze_DB_Nr)</f>
        <v>0</v>
      </c>
      <c r="M43" s="116">
        <f>SUMIFS('8. Uitgaven betaalverzoek'!$V:$V,'8. Uitgaven betaalverzoek'!$E:$E,$A43,'8. Uitgaven betaalverzoek'!$F:$F,$B43,'8. Uitgaven betaalverzoek'!$A:$A,Keuze_DB_Nr)</f>
        <v>0</v>
      </c>
      <c r="N43" s="116" t="str">
        <f>IF($C43&lt;&gt;"",SUMIFS('8. Uitgaven betaalverzoek'!$W:$W,'8. Uitgaven betaalverzoek'!$E:$E,$A43,'8. Uitgaven betaalverzoek'!$F:$F,$B43,'8. Uitgaven betaalverzoek'!$A:$A,Keuze_DB_Nr),"")</f>
        <v/>
      </c>
      <c r="O43" s="116" t="str">
        <f>IF($C43&lt;&gt;"",SUMIFS('8. Uitgaven betaalverzoek'!$X:$X,'8. Uitgaven betaalverzoek'!$E:$E,$A43,'8. Uitgaven betaalverzoek'!$F:$F,$B43,'8. Uitgaven betaalverzoek'!$A:$A,Keuze_DB_Nr),"")</f>
        <v/>
      </c>
      <c r="P43" s="116">
        <f t="shared" si="5"/>
        <v>0</v>
      </c>
      <c r="Q43" s="116">
        <f t="shared" si="6"/>
        <v>0</v>
      </c>
      <c r="R43" s="116">
        <f>SUMIFS('8. Uitgaven betaalverzoek'!$U:$U,'8. Uitgaven betaalverzoek'!$E:$E,$A43,'8. Uitgaven betaalverzoek'!$F:$F,$B43,'8. Uitgaven betaalverzoek'!$A:$A,Keuze_DB_Nr_BEO)</f>
        <v>0</v>
      </c>
      <c r="S43" s="116">
        <f>SUMIFS('8. Uitgaven betaalverzoek'!$V:$V,'8. Uitgaven betaalverzoek'!$E:$E,$A43,'8. Uitgaven betaalverzoek'!$F:$F,$B43,'8. Uitgaven betaalverzoek'!$A:$A,Keuze_DB_Nr_BEO)</f>
        <v>0</v>
      </c>
      <c r="T43" s="116" t="str">
        <f>IF($C43&lt;&gt;"",SUMIFS('8. Uitgaven betaalverzoek'!$W:$W,'8. Uitgaven betaalverzoek'!$E:$E,$A43,'8. Uitgaven betaalverzoek'!$F:$F,$B43,'8. Uitgaven betaalverzoek'!$A:$A,Keuze_DB_Nr_BEO),"")</f>
        <v/>
      </c>
      <c r="U43" s="116" t="str">
        <f>IF($C43&lt;&gt;"",SUMIFS('8. Uitgaven betaalverzoek'!$X:$X,'8. Uitgaven betaalverzoek'!$E:$E,$A43,'8. Uitgaven betaalverzoek'!$F:$F,$B43,'8. Uitgaven betaalverzoek'!$A:$A,Keuze_DB_Nr_BEO),"")</f>
        <v/>
      </c>
      <c r="V43" s="116">
        <f t="shared" si="2"/>
        <v>0</v>
      </c>
      <c r="W43" s="116">
        <f t="shared" si="3"/>
        <v>0</v>
      </c>
    </row>
    <row r="44" spans="1:23" x14ac:dyDescent="0.25">
      <c r="A44" s="78"/>
      <c r="B44" s="78"/>
      <c r="C44" s="105" t="str" cm="1">
        <f t="array" ref="C44">IFERROR(INDEX(Tb_KostenOpties[],MATCH(B44,Tb_KostenOptiesDB[KostenOptie],0),IFERROR(MATCH(Methode_Keuze,Tb_KostenOptiesDB[#Headers],0),2)),"")</f>
        <v/>
      </c>
      <c r="D44" s="117">
        <f>IFERROR(INDEX(Tb_ProjectKosten[],MATCH($B44,Tb_ProjectKosten[Begroting],0),6),0)</f>
        <v>0</v>
      </c>
      <c r="E44" s="115">
        <f>SUMIFS('8. Uitgaven betaalverzoek'!$U:$U,'8. Uitgaven betaalverzoek'!$E:$E,$A44,'8. Uitgaven betaalverzoek'!$F:$F,$B44)</f>
        <v>0</v>
      </c>
      <c r="F44" s="115">
        <f>SUMIFS('8. Uitgaven betaalverzoek'!$V:$V,'8. Uitgaven betaalverzoek'!$E:$E,$A44,'8. Uitgaven betaalverzoek'!$F:$F,$B44)</f>
        <v>0</v>
      </c>
      <c r="G44" s="115" t="str">
        <f>IF(C44&lt;&gt;"",SUMIFS('8. Uitgaven betaalverzoek'!$W:$W,'8. Uitgaven betaalverzoek'!$E:$E,$A44,'8. Uitgaven betaalverzoek'!$F:$F,$B44),"")</f>
        <v/>
      </c>
      <c r="H44" s="115" t="str">
        <f>IF(C44&lt;&gt;"",SUMIFS('8. Uitgaven betaalverzoek'!$X:$X,'8. Uitgaven betaalverzoek'!$E:$E,$A44,'8. Uitgaven betaalverzoek'!$F:$F,$B44),"")</f>
        <v/>
      </c>
      <c r="I44" s="117" t="str">
        <f>IFERROR(VLOOKUP(A44,Lijsten!$AD:$AE,2,0),"")</f>
        <v/>
      </c>
      <c r="J44" s="115">
        <f t="shared" si="4"/>
        <v>0</v>
      </c>
      <c r="K44" s="115">
        <f t="shared" si="1"/>
        <v>0</v>
      </c>
      <c r="L44" s="115">
        <f>SUMIFS('8. Uitgaven betaalverzoek'!$U:$U,'8. Uitgaven betaalverzoek'!$E:$E,$A44,'8. Uitgaven betaalverzoek'!$F:$F,$B44,'8. Uitgaven betaalverzoek'!$A:$A,Keuze_DB_Nr)</f>
        <v>0</v>
      </c>
      <c r="M44" s="115">
        <f>SUMIFS('8. Uitgaven betaalverzoek'!$V:$V,'8. Uitgaven betaalverzoek'!$E:$E,$A44,'8. Uitgaven betaalverzoek'!$F:$F,$B44,'8. Uitgaven betaalverzoek'!$A:$A,Keuze_DB_Nr)</f>
        <v>0</v>
      </c>
      <c r="N44" s="115" t="str">
        <f>IF($C44&lt;&gt;"",SUMIFS('8. Uitgaven betaalverzoek'!$W:$W,'8. Uitgaven betaalverzoek'!$E:$E,$A44,'8. Uitgaven betaalverzoek'!$F:$F,$B44,'8. Uitgaven betaalverzoek'!$A:$A,Keuze_DB_Nr),"")</f>
        <v/>
      </c>
      <c r="O44" s="115" t="str">
        <f>IF($C44&lt;&gt;"",SUMIFS('8. Uitgaven betaalverzoek'!$X:$X,'8. Uitgaven betaalverzoek'!$E:$E,$A44,'8. Uitgaven betaalverzoek'!$F:$F,$B44,'8. Uitgaven betaalverzoek'!$A:$A,Keuze_DB_Nr),"")</f>
        <v/>
      </c>
      <c r="P44" s="115">
        <f t="shared" si="5"/>
        <v>0</v>
      </c>
      <c r="Q44" s="115">
        <f t="shared" si="6"/>
        <v>0</v>
      </c>
      <c r="R44" s="115">
        <f>SUMIFS('8. Uitgaven betaalverzoek'!$U:$U,'8. Uitgaven betaalverzoek'!$E:$E,$A44,'8. Uitgaven betaalverzoek'!$F:$F,$B44,'8. Uitgaven betaalverzoek'!$A:$A,Keuze_DB_Nr_BEO)</f>
        <v>0</v>
      </c>
      <c r="S44" s="115">
        <f>SUMIFS('8. Uitgaven betaalverzoek'!$V:$V,'8. Uitgaven betaalverzoek'!$E:$E,$A44,'8. Uitgaven betaalverzoek'!$F:$F,$B44,'8. Uitgaven betaalverzoek'!$A:$A,Keuze_DB_Nr_BEO)</f>
        <v>0</v>
      </c>
      <c r="T44" s="115" t="str">
        <f>IF($C44&lt;&gt;"",SUMIFS('8. Uitgaven betaalverzoek'!$W:$W,'8. Uitgaven betaalverzoek'!$E:$E,$A44,'8. Uitgaven betaalverzoek'!$F:$F,$B44,'8. Uitgaven betaalverzoek'!$A:$A,Keuze_DB_Nr_BEO),"")</f>
        <v/>
      </c>
      <c r="U44" s="115" t="str">
        <f>IF($C44&lt;&gt;"",SUMIFS('8. Uitgaven betaalverzoek'!$X:$X,'8. Uitgaven betaalverzoek'!$E:$E,$A44,'8. Uitgaven betaalverzoek'!$F:$F,$B44,'8. Uitgaven betaalverzoek'!$A:$A,Keuze_DB_Nr_BEO),"")</f>
        <v/>
      </c>
      <c r="V44" s="115">
        <f t="shared" si="2"/>
        <v>0</v>
      </c>
      <c r="W44" s="115">
        <f t="shared" si="3"/>
        <v>0</v>
      </c>
    </row>
    <row r="45" spans="1:23" x14ac:dyDescent="0.25">
      <c r="A45" s="18"/>
      <c r="B45" s="18"/>
      <c r="C45" s="106" t="str" cm="1">
        <f t="array" ref="C45">IFERROR(INDEX(Tb_KostenOpties[],MATCH(B45,Tb_KostenOptiesDB[KostenOptie],0),IFERROR(MATCH(Methode_Keuze,Tb_KostenOptiesDB[#Headers],0),2)),"")</f>
        <v/>
      </c>
      <c r="D45" s="118">
        <f>IFERROR(INDEX(Tb_ProjectKosten[],MATCH($B45,Tb_ProjectKosten[Begroting],0),6),0)</f>
        <v>0</v>
      </c>
      <c r="E45" s="116">
        <f>SUMIFS('8. Uitgaven betaalverzoek'!$U:$U,'8. Uitgaven betaalverzoek'!$E:$E,$A45,'8. Uitgaven betaalverzoek'!$F:$F,$B45)</f>
        <v>0</v>
      </c>
      <c r="F45" s="116">
        <f>SUMIFS('8. Uitgaven betaalverzoek'!$V:$V,'8. Uitgaven betaalverzoek'!$E:$E,$A45,'8. Uitgaven betaalverzoek'!$F:$F,$B45)</f>
        <v>0</v>
      </c>
      <c r="G45" s="116" t="str">
        <f>IF(C45&lt;&gt;"",SUMIFS('8. Uitgaven betaalverzoek'!$W:$W,'8. Uitgaven betaalverzoek'!$E:$E,$A45,'8. Uitgaven betaalverzoek'!$F:$F,$B45),"")</f>
        <v/>
      </c>
      <c r="H45" s="116" t="str">
        <f>IF(C45&lt;&gt;"",SUMIFS('8. Uitgaven betaalverzoek'!$X:$X,'8. Uitgaven betaalverzoek'!$E:$E,$A45,'8. Uitgaven betaalverzoek'!$F:$F,$B45),"")</f>
        <v/>
      </c>
      <c r="I45" s="118" t="str">
        <f>IFERROR(VLOOKUP(A45,Lijsten!$AD:$AE,2,0),"")</f>
        <v/>
      </c>
      <c r="J45" s="116">
        <f t="shared" si="4"/>
        <v>0</v>
      </c>
      <c r="K45" s="116">
        <f t="shared" si="1"/>
        <v>0</v>
      </c>
      <c r="L45" s="116">
        <f>SUMIFS('8. Uitgaven betaalverzoek'!$U:$U,'8. Uitgaven betaalverzoek'!$E:$E,$A45,'8. Uitgaven betaalverzoek'!$F:$F,$B45,'8. Uitgaven betaalverzoek'!$A:$A,Keuze_DB_Nr)</f>
        <v>0</v>
      </c>
      <c r="M45" s="116">
        <f>SUMIFS('8. Uitgaven betaalverzoek'!$V:$V,'8. Uitgaven betaalverzoek'!$E:$E,$A45,'8. Uitgaven betaalverzoek'!$F:$F,$B45,'8. Uitgaven betaalverzoek'!$A:$A,Keuze_DB_Nr)</f>
        <v>0</v>
      </c>
      <c r="N45" s="116" t="str">
        <f>IF($C45&lt;&gt;"",SUMIFS('8. Uitgaven betaalverzoek'!$W:$W,'8. Uitgaven betaalverzoek'!$E:$E,$A45,'8. Uitgaven betaalverzoek'!$F:$F,$B45,'8. Uitgaven betaalverzoek'!$A:$A,Keuze_DB_Nr),"")</f>
        <v/>
      </c>
      <c r="O45" s="116" t="str">
        <f>IF($C45&lt;&gt;"",SUMIFS('8. Uitgaven betaalverzoek'!$X:$X,'8. Uitgaven betaalverzoek'!$E:$E,$A45,'8. Uitgaven betaalverzoek'!$F:$F,$B45,'8. Uitgaven betaalverzoek'!$A:$A,Keuze_DB_Nr),"")</f>
        <v/>
      </c>
      <c r="P45" s="116">
        <f t="shared" si="5"/>
        <v>0</v>
      </c>
      <c r="Q45" s="116">
        <f t="shared" si="6"/>
        <v>0</v>
      </c>
      <c r="R45" s="116">
        <f>SUMIFS('8. Uitgaven betaalverzoek'!$U:$U,'8. Uitgaven betaalverzoek'!$E:$E,$A45,'8. Uitgaven betaalverzoek'!$F:$F,$B45,'8. Uitgaven betaalverzoek'!$A:$A,Keuze_DB_Nr_BEO)</f>
        <v>0</v>
      </c>
      <c r="S45" s="116">
        <f>SUMIFS('8. Uitgaven betaalverzoek'!$V:$V,'8. Uitgaven betaalverzoek'!$E:$E,$A45,'8. Uitgaven betaalverzoek'!$F:$F,$B45,'8. Uitgaven betaalverzoek'!$A:$A,Keuze_DB_Nr_BEO)</f>
        <v>0</v>
      </c>
      <c r="T45" s="116" t="str">
        <f>IF($C45&lt;&gt;"",SUMIFS('8. Uitgaven betaalverzoek'!$W:$W,'8. Uitgaven betaalverzoek'!$E:$E,$A45,'8. Uitgaven betaalverzoek'!$F:$F,$B45,'8. Uitgaven betaalverzoek'!$A:$A,Keuze_DB_Nr_BEO),"")</f>
        <v/>
      </c>
      <c r="U45" s="116" t="str">
        <f>IF($C45&lt;&gt;"",SUMIFS('8. Uitgaven betaalverzoek'!$X:$X,'8. Uitgaven betaalverzoek'!$E:$E,$A45,'8. Uitgaven betaalverzoek'!$F:$F,$B45,'8. Uitgaven betaalverzoek'!$A:$A,Keuze_DB_Nr_BEO),"")</f>
        <v/>
      </c>
      <c r="V45" s="116">
        <f t="shared" si="2"/>
        <v>0</v>
      </c>
      <c r="W45" s="116">
        <f t="shared" si="3"/>
        <v>0</v>
      </c>
    </row>
    <row r="46" spans="1:23" x14ac:dyDescent="0.25">
      <c r="A46" s="78"/>
      <c r="B46" s="78"/>
      <c r="C46" s="105" t="str" cm="1">
        <f t="array" ref="C46">IFERROR(INDEX(Tb_KostenOpties[],MATCH(B46,Tb_KostenOptiesDB[KostenOptie],0),IFERROR(MATCH(Methode_Keuze,Tb_KostenOptiesDB[#Headers],0),2)),"")</f>
        <v/>
      </c>
      <c r="D46" s="117">
        <f>IFERROR(INDEX(Tb_ProjectKosten[],MATCH($B46,Tb_ProjectKosten[Begroting],0),6),0)</f>
        <v>0</v>
      </c>
      <c r="E46" s="115">
        <f>SUMIFS('8. Uitgaven betaalverzoek'!$U:$U,'8. Uitgaven betaalverzoek'!$E:$E,$A46,'8. Uitgaven betaalverzoek'!$F:$F,$B46)</f>
        <v>0</v>
      </c>
      <c r="F46" s="115">
        <f>SUMIFS('8. Uitgaven betaalverzoek'!$V:$V,'8. Uitgaven betaalverzoek'!$E:$E,$A46,'8. Uitgaven betaalverzoek'!$F:$F,$B46)</f>
        <v>0</v>
      </c>
      <c r="G46" s="115" t="str">
        <f>IF(C46&lt;&gt;"",SUMIFS('8. Uitgaven betaalverzoek'!$W:$W,'8. Uitgaven betaalverzoek'!$E:$E,$A46,'8. Uitgaven betaalverzoek'!$F:$F,$B46),"")</f>
        <v/>
      </c>
      <c r="H46" s="115" t="str">
        <f>IF(C46&lt;&gt;"",SUMIFS('8. Uitgaven betaalverzoek'!$X:$X,'8. Uitgaven betaalverzoek'!$E:$E,$A46,'8. Uitgaven betaalverzoek'!$F:$F,$B46),"")</f>
        <v/>
      </c>
      <c r="I46" s="117" t="str">
        <f>IFERROR(VLOOKUP(A46,Lijsten!$AD:$AE,2,0),"")</f>
        <v/>
      </c>
      <c r="J46" s="115">
        <f t="shared" si="4"/>
        <v>0</v>
      </c>
      <c r="K46" s="115">
        <f t="shared" si="1"/>
        <v>0</v>
      </c>
      <c r="L46" s="115">
        <f>SUMIFS('8. Uitgaven betaalverzoek'!$U:$U,'8. Uitgaven betaalverzoek'!$E:$E,$A46,'8. Uitgaven betaalverzoek'!$F:$F,$B46,'8. Uitgaven betaalverzoek'!$A:$A,Keuze_DB_Nr)</f>
        <v>0</v>
      </c>
      <c r="M46" s="115">
        <f>SUMIFS('8. Uitgaven betaalverzoek'!$V:$V,'8. Uitgaven betaalverzoek'!$E:$E,$A46,'8. Uitgaven betaalverzoek'!$F:$F,$B46,'8. Uitgaven betaalverzoek'!$A:$A,Keuze_DB_Nr)</f>
        <v>0</v>
      </c>
      <c r="N46" s="115" t="str">
        <f>IF($C46&lt;&gt;"",SUMIFS('8. Uitgaven betaalverzoek'!$W:$W,'8. Uitgaven betaalverzoek'!$E:$E,$A46,'8. Uitgaven betaalverzoek'!$F:$F,$B46,'8. Uitgaven betaalverzoek'!$A:$A,Keuze_DB_Nr),"")</f>
        <v/>
      </c>
      <c r="O46" s="115" t="str">
        <f>IF($C46&lt;&gt;"",SUMIFS('8. Uitgaven betaalverzoek'!$X:$X,'8. Uitgaven betaalverzoek'!$E:$E,$A46,'8. Uitgaven betaalverzoek'!$F:$F,$B46,'8. Uitgaven betaalverzoek'!$A:$A,Keuze_DB_Nr),"")</f>
        <v/>
      </c>
      <c r="P46" s="115">
        <f t="shared" si="5"/>
        <v>0</v>
      </c>
      <c r="Q46" s="115">
        <f t="shared" si="6"/>
        <v>0</v>
      </c>
      <c r="R46" s="115">
        <f>SUMIFS('8. Uitgaven betaalverzoek'!$U:$U,'8. Uitgaven betaalverzoek'!$E:$E,$A46,'8. Uitgaven betaalverzoek'!$F:$F,$B46,'8. Uitgaven betaalverzoek'!$A:$A,Keuze_DB_Nr_BEO)</f>
        <v>0</v>
      </c>
      <c r="S46" s="115">
        <f>SUMIFS('8. Uitgaven betaalverzoek'!$V:$V,'8. Uitgaven betaalverzoek'!$E:$E,$A46,'8. Uitgaven betaalverzoek'!$F:$F,$B46,'8. Uitgaven betaalverzoek'!$A:$A,Keuze_DB_Nr_BEO)</f>
        <v>0</v>
      </c>
      <c r="T46" s="115" t="str">
        <f>IF($C46&lt;&gt;"",SUMIFS('8. Uitgaven betaalverzoek'!$W:$W,'8. Uitgaven betaalverzoek'!$E:$E,$A46,'8. Uitgaven betaalverzoek'!$F:$F,$B46,'8. Uitgaven betaalverzoek'!$A:$A,Keuze_DB_Nr_BEO),"")</f>
        <v/>
      </c>
      <c r="U46" s="115" t="str">
        <f>IF($C46&lt;&gt;"",SUMIFS('8. Uitgaven betaalverzoek'!$X:$X,'8. Uitgaven betaalverzoek'!$E:$E,$A46,'8. Uitgaven betaalverzoek'!$F:$F,$B46,'8. Uitgaven betaalverzoek'!$A:$A,Keuze_DB_Nr_BEO),"")</f>
        <v/>
      </c>
      <c r="V46" s="115">
        <f t="shared" si="2"/>
        <v>0</v>
      </c>
      <c r="W46" s="115">
        <f t="shared" si="3"/>
        <v>0</v>
      </c>
    </row>
    <row r="47" spans="1:23" x14ac:dyDescent="0.25">
      <c r="A47" s="18"/>
      <c r="B47" s="18"/>
      <c r="C47" s="106" t="str" cm="1">
        <f t="array" ref="C47">IFERROR(INDEX(Tb_KostenOpties[],MATCH(B47,Tb_KostenOptiesDB[KostenOptie],0),IFERROR(MATCH(Methode_Keuze,Tb_KostenOptiesDB[#Headers],0),2)),"")</f>
        <v/>
      </c>
      <c r="D47" s="118">
        <f>IFERROR(INDEX(Tb_ProjectKosten[],MATCH($B47,Tb_ProjectKosten[Begroting],0),6),0)</f>
        <v>0</v>
      </c>
      <c r="E47" s="116">
        <f>SUMIFS('8. Uitgaven betaalverzoek'!$U:$U,'8. Uitgaven betaalverzoek'!$E:$E,$A47,'8. Uitgaven betaalverzoek'!$F:$F,$B47)</f>
        <v>0</v>
      </c>
      <c r="F47" s="116">
        <f>SUMIFS('8. Uitgaven betaalverzoek'!$V:$V,'8. Uitgaven betaalverzoek'!$E:$E,$A47,'8. Uitgaven betaalverzoek'!$F:$F,$B47)</f>
        <v>0</v>
      </c>
      <c r="G47" s="116" t="str">
        <f>IF(C47&lt;&gt;"",SUMIFS('8. Uitgaven betaalverzoek'!$W:$W,'8. Uitgaven betaalverzoek'!$E:$E,$A47,'8. Uitgaven betaalverzoek'!$F:$F,$B47),"")</f>
        <v/>
      </c>
      <c r="H47" s="116" t="str">
        <f>IF(C47&lt;&gt;"",SUMIFS('8. Uitgaven betaalverzoek'!$X:$X,'8. Uitgaven betaalverzoek'!$E:$E,$A47,'8. Uitgaven betaalverzoek'!$F:$F,$B47),"")</f>
        <v/>
      </c>
      <c r="I47" s="118" t="str">
        <f>IFERROR(VLOOKUP(A47,Lijsten!$AD:$AE,2,0),"")</f>
        <v/>
      </c>
      <c r="J47" s="116">
        <f t="shared" si="4"/>
        <v>0</v>
      </c>
      <c r="K47" s="116">
        <f t="shared" si="1"/>
        <v>0</v>
      </c>
      <c r="L47" s="116">
        <f>SUMIFS('8. Uitgaven betaalverzoek'!$U:$U,'8. Uitgaven betaalverzoek'!$E:$E,$A47,'8. Uitgaven betaalverzoek'!$F:$F,$B47,'8. Uitgaven betaalverzoek'!$A:$A,Keuze_DB_Nr)</f>
        <v>0</v>
      </c>
      <c r="M47" s="116">
        <f>SUMIFS('8. Uitgaven betaalverzoek'!$V:$V,'8. Uitgaven betaalverzoek'!$E:$E,$A47,'8. Uitgaven betaalverzoek'!$F:$F,$B47,'8. Uitgaven betaalverzoek'!$A:$A,Keuze_DB_Nr)</f>
        <v>0</v>
      </c>
      <c r="N47" s="116" t="str">
        <f>IF($C47&lt;&gt;"",SUMIFS('8. Uitgaven betaalverzoek'!$W:$W,'8. Uitgaven betaalverzoek'!$E:$E,$A47,'8. Uitgaven betaalverzoek'!$F:$F,$B47,'8. Uitgaven betaalverzoek'!$A:$A,Keuze_DB_Nr),"")</f>
        <v/>
      </c>
      <c r="O47" s="116" t="str">
        <f>IF($C47&lt;&gt;"",SUMIFS('8. Uitgaven betaalverzoek'!$X:$X,'8. Uitgaven betaalverzoek'!$E:$E,$A47,'8. Uitgaven betaalverzoek'!$F:$F,$B47,'8. Uitgaven betaalverzoek'!$A:$A,Keuze_DB_Nr),"")</f>
        <v/>
      </c>
      <c r="P47" s="116">
        <f t="shared" si="5"/>
        <v>0</v>
      </c>
      <c r="Q47" s="116">
        <f t="shared" si="6"/>
        <v>0</v>
      </c>
      <c r="R47" s="116">
        <f>SUMIFS('8. Uitgaven betaalverzoek'!$U:$U,'8. Uitgaven betaalverzoek'!$E:$E,$A47,'8. Uitgaven betaalverzoek'!$F:$F,$B47,'8. Uitgaven betaalverzoek'!$A:$A,Keuze_DB_Nr_BEO)</f>
        <v>0</v>
      </c>
      <c r="S47" s="116">
        <f>SUMIFS('8. Uitgaven betaalverzoek'!$V:$V,'8. Uitgaven betaalverzoek'!$E:$E,$A47,'8. Uitgaven betaalverzoek'!$F:$F,$B47,'8. Uitgaven betaalverzoek'!$A:$A,Keuze_DB_Nr_BEO)</f>
        <v>0</v>
      </c>
      <c r="T47" s="116" t="str">
        <f>IF($C47&lt;&gt;"",SUMIFS('8. Uitgaven betaalverzoek'!$W:$W,'8. Uitgaven betaalverzoek'!$E:$E,$A47,'8. Uitgaven betaalverzoek'!$F:$F,$B47,'8. Uitgaven betaalverzoek'!$A:$A,Keuze_DB_Nr_BEO),"")</f>
        <v/>
      </c>
      <c r="U47" s="116" t="str">
        <f>IF($C47&lt;&gt;"",SUMIFS('8. Uitgaven betaalverzoek'!$X:$X,'8. Uitgaven betaalverzoek'!$E:$E,$A47,'8. Uitgaven betaalverzoek'!$F:$F,$B47,'8. Uitgaven betaalverzoek'!$A:$A,Keuze_DB_Nr_BEO),"")</f>
        <v/>
      </c>
      <c r="V47" s="116">
        <f t="shared" si="2"/>
        <v>0</v>
      </c>
      <c r="W47" s="116">
        <f t="shared" si="3"/>
        <v>0</v>
      </c>
    </row>
    <row r="48" spans="1:23" x14ac:dyDescent="0.25">
      <c r="A48" s="78"/>
      <c r="B48" s="78"/>
      <c r="C48" s="105" t="str" cm="1">
        <f t="array" ref="C48">IFERROR(INDEX(Tb_KostenOpties[],MATCH(B48,Tb_KostenOptiesDB[KostenOptie],0),IFERROR(MATCH(Methode_Keuze,Tb_KostenOptiesDB[#Headers],0),2)),"")</f>
        <v/>
      </c>
      <c r="D48" s="117">
        <f>IFERROR(INDEX(Tb_ProjectKosten[],MATCH($B48,Tb_ProjectKosten[Begroting],0),6),0)</f>
        <v>0</v>
      </c>
      <c r="E48" s="115">
        <f>SUMIFS('8. Uitgaven betaalverzoek'!$U:$U,'8. Uitgaven betaalverzoek'!$E:$E,$A48,'8. Uitgaven betaalverzoek'!$F:$F,$B48)</f>
        <v>0</v>
      </c>
      <c r="F48" s="115">
        <f>SUMIFS('8. Uitgaven betaalverzoek'!$V:$V,'8. Uitgaven betaalverzoek'!$E:$E,$A48,'8. Uitgaven betaalverzoek'!$F:$F,$B48)</f>
        <v>0</v>
      </c>
      <c r="G48" s="115" t="str">
        <f>IF(C48&lt;&gt;"",SUMIFS('8. Uitgaven betaalverzoek'!$W:$W,'8. Uitgaven betaalverzoek'!$E:$E,$A48,'8. Uitgaven betaalverzoek'!$F:$F,$B48),"")</f>
        <v/>
      </c>
      <c r="H48" s="115" t="str">
        <f>IF(C48&lt;&gt;"",SUMIFS('8. Uitgaven betaalverzoek'!$X:$X,'8. Uitgaven betaalverzoek'!$E:$E,$A48,'8. Uitgaven betaalverzoek'!$F:$F,$B48),"")</f>
        <v/>
      </c>
      <c r="I48" s="117" t="str">
        <f>IFERROR(VLOOKUP(A48,Lijsten!$AD:$AE,2,0),"")</f>
        <v/>
      </c>
      <c r="J48" s="115">
        <f t="shared" si="4"/>
        <v>0</v>
      </c>
      <c r="K48" s="115">
        <f t="shared" si="1"/>
        <v>0</v>
      </c>
      <c r="L48" s="115">
        <f>SUMIFS('8. Uitgaven betaalverzoek'!$U:$U,'8. Uitgaven betaalverzoek'!$E:$E,$A48,'8. Uitgaven betaalverzoek'!$F:$F,$B48,'8. Uitgaven betaalverzoek'!$A:$A,Keuze_DB_Nr)</f>
        <v>0</v>
      </c>
      <c r="M48" s="115">
        <f>SUMIFS('8. Uitgaven betaalverzoek'!$V:$V,'8. Uitgaven betaalverzoek'!$E:$E,$A48,'8. Uitgaven betaalverzoek'!$F:$F,$B48,'8. Uitgaven betaalverzoek'!$A:$A,Keuze_DB_Nr)</f>
        <v>0</v>
      </c>
      <c r="N48" s="115" t="str">
        <f>IF($C48&lt;&gt;"",SUMIFS('8. Uitgaven betaalverzoek'!$W:$W,'8. Uitgaven betaalverzoek'!$E:$E,$A48,'8. Uitgaven betaalverzoek'!$F:$F,$B48,'8. Uitgaven betaalverzoek'!$A:$A,Keuze_DB_Nr),"")</f>
        <v/>
      </c>
      <c r="O48" s="115" t="str">
        <f>IF($C48&lt;&gt;"",SUMIFS('8. Uitgaven betaalverzoek'!$X:$X,'8. Uitgaven betaalverzoek'!$E:$E,$A48,'8. Uitgaven betaalverzoek'!$F:$F,$B48,'8. Uitgaven betaalverzoek'!$A:$A,Keuze_DB_Nr),"")</f>
        <v/>
      </c>
      <c r="P48" s="115">
        <f t="shared" si="5"/>
        <v>0</v>
      </c>
      <c r="Q48" s="115">
        <f t="shared" si="6"/>
        <v>0</v>
      </c>
      <c r="R48" s="115">
        <f>SUMIFS('8. Uitgaven betaalverzoek'!$U:$U,'8. Uitgaven betaalverzoek'!$E:$E,$A48,'8. Uitgaven betaalverzoek'!$F:$F,$B48,'8. Uitgaven betaalverzoek'!$A:$A,Keuze_DB_Nr_BEO)</f>
        <v>0</v>
      </c>
      <c r="S48" s="115">
        <f>SUMIFS('8. Uitgaven betaalverzoek'!$V:$V,'8. Uitgaven betaalverzoek'!$E:$E,$A48,'8. Uitgaven betaalverzoek'!$F:$F,$B48,'8. Uitgaven betaalverzoek'!$A:$A,Keuze_DB_Nr_BEO)</f>
        <v>0</v>
      </c>
      <c r="T48" s="115" t="str">
        <f>IF($C48&lt;&gt;"",SUMIFS('8. Uitgaven betaalverzoek'!$W:$W,'8. Uitgaven betaalverzoek'!$E:$E,$A48,'8. Uitgaven betaalverzoek'!$F:$F,$B48,'8. Uitgaven betaalverzoek'!$A:$A,Keuze_DB_Nr_BEO),"")</f>
        <v/>
      </c>
      <c r="U48" s="115" t="str">
        <f>IF($C48&lt;&gt;"",SUMIFS('8. Uitgaven betaalverzoek'!$X:$X,'8. Uitgaven betaalverzoek'!$E:$E,$A48,'8. Uitgaven betaalverzoek'!$F:$F,$B48,'8. Uitgaven betaalverzoek'!$A:$A,Keuze_DB_Nr_BEO),"")</f>
        <v/>
      </c>
      <c r="V48" s="115">
        <f t="shared" si="2"/>
        <v>0</v>
      </c>
      <c r="W48" s="115">
        <f t="shared" si="3"/>
        <v>0</v>
      </c>
    </row>
    <row r="49" spans="1:23" x14ac:dyDescent="0.25">
      <c r="A49" s="18"/>
      <c r="B49" s="18"/>
      <c r="C49" s="106" t="str" cm="1">
        <f t="array" ref="C49">IFERROR(INDEX(Tb_KostenOpties[],MATCH(B49,Tb_KostenOptiesDB[KostenOptie],0),IFERROR(MATCH(Methode_Keuze,Tb_KostenOptiesDB[#Headers],0),2)),"")</f>
        <v/>
      </c>
      <c r="D49" s="118">
        <f>IFERROR(INDEX(Tb_ProjectKosten[],MATCH($B49,Tb_ProjectKosten[Begroting],0),6),0)</f>
        <v>0</v>
      </c>
      <c r="E49" s="116">
        <f>SUMIFS('8. Uitgaven betaalverzoek'!$U:$U,'8. Uitgaven betaalverzoek'!$E:$E,$A49,'8. Uitgaven betaalverzoek'!$F:$F,$B49)</f>
        <v>0</v>
      </c>
      <c r="F49" s="116">
        <f>SUMIFS('8. Uitgaven betaalverzoek'!$V:$V,'8. Uitgaven betaalverzoek'!$E:$E,$A49,'8. Uitgaven betaalverzoek'!$F:$F,$B49)</f>
        <v>0</v>
      </c>
      <c r="G49" s="116" t="str">
        <f>IF(C49&lt;&gt;"",SUMIFS('8. Uitgaven betaalverzoek'!$W:$W,'8. Uitgaven betaalverzoek'!$E:$E,$A49,'8. Uitgaven betaalverzoek'!$F:$F,$B49),"")</f>
        <v/>
      </c>
      <c r="H49" s="116" t="str">
        <f>IF(C49&lt;&gt;"",SUMIFS('8. Uitgaven betaalverzoek'!$X:$X,'8. Uitgaven betaalverzoek'!$E:$E,$A49,'8. Uitgaven betaalverzoek'!$F:$F,$B49),"")</f>
        <v/>
      </c>
      <c r="I49" s="118" t="str">
        <f>IFERROR(VLOOKUP(A49,Lijsten!$AD:$AE,2,0),"")</f>
        <v/>
      </c>
      <c r="J49" s="116">
        <f t="shared" si="4"/>
        <v>0</v>
      </c>
      <c r="K49" s="116">
        <f t="shared" si="1"/>
        <v>0</v>
      </c>
      <c r="L49" s="116">
        <f>SUMIFS('8. Uitgaven betaalverzoek'!$U:$U,'8. Uitgaven betaalverzoek'!$E:$E,$A49,'8. Uitgaven betaalverzoek'!$F:$F,$B49,'8. Uitgaven betaalverzoek'!$A:$A,Keuze_DB_Nr)</f>
        <v>0</v>
      </c>
      <c r="M49" s="116">
        <f>SUMIFS('8. Uitgaven betaalverzoek'!$V:$V,'8. Uitgaven betaalverzoek'!$E:$E,$A49,'8. Uitgaven betaalverzoek'!$F:$F,$B49,'8. Uitgaven betaalverzoek'!$A:$A,Keuze_DB_Nr)</f>
        <v>0</v>
      </c>
      <c r="N49" s="116" t="str">
        <f>IF($C49&lt;&gt;"",SUMIFS('8. Uitgaven betaalverzoek'!$W:$W,'8. Uitgaven betaalverzoek'!$E:$E,$A49,'8. Uitgaven betaalverzoek'!$F:$F,$B49,'8. Uitgaven betaalverzoek'!$A:$A,Keuze_DB_Nr),"")</f>
        <v/>
      </c>
      <c r="O49" s="116" t="str">
        <f>IF($C49&lt;&gt;"",SUMIFS('8. Uitgaven betaalverzoek'!$X:$X,'8. Uitgaven betaalverzoek'!$E:$E,$A49,'8. Uitgaven betaalverzoek'!$F:$F,$B49,'8. Uitgaven betaalverzoek'!$A:$A,Keuze_DB_Nr),"")</f>
        <v/>
      </c>
      <c r="P49" s="116">
        <f t="shared" si="5"/>
        <v>0</v>
      </c>
      <c r="Q49" s="116">
        <f t="shared" si="6"/>
        <v>0</v>
      </c>
      <c r="R49" s="116">
        <f>SUMIFS('8. Uitgaven betaalverzoek'!$U:$U,'8. Uitgaven betaalverzoek'!$E:$E,$A49,'8. Uitgaven betaalverzoek'!$F:$F,$B49,'8. Uitgaven betaalverzoek'!$A:$A,Keuze_DB_Nr_BEO)</f>
        <v>0</v>
      </c>
      <c r="S49" s="116">
        <f>SUMIFS('8. Uitgaven betaalverzoek'!$V:$V,'8. Uitgaven betaalverzoek'!$E:$E,$A49,'8. Uitgaven betaalverzoek'!$F:$F,$B49,'8. Uitgaven betaalverzoek'!$A:$A,Keuze_DB_Nr_BEO)</f>
        <v>0</v>
      </c>
      <c r="T49" s="116" t="str">
        <f>IF($C49&lt;&gt;"",SUMIFS('8. Uitgaven betaalverzoek'!$W:$W,'8. Uitgaven betaalverzoek'!$E:$E,$A49,'8. Uitgaven betaalverzoek'!$F:$F,$B49,'8. Uitgaven betaalverzoek'!$A:$A,Keuze_DB_Nr_BEO),"")</f>
        <v/>
      </c>
      <c r="U49" s="116" t="str">
        <f>IF($C49&lt;&gt;"",SUMIFS('8. Uitgaven betaalverzoek'!$X:$X,'8. Uitgaven betaalverzoek'!$E:$E,$A49,'8. Uitgaven betaalverzoek'!$F:$F,$B49,'8. Uitgaven betaalverzoek'!$A:$A,Keuze_DB_Nr_BEO),"")</f>
        <v/>
      </c>
      <c r="V49" s="116">
        <f t="shared" si="2"/>
        <v>0</v>
      </c>
      <c r="W49" s="116">
        <f t="shared" si="3"/>
        <v>0</v>
      </c>
    </row>
    <row r="50" spans="1:23" x14ac:dyDescent="0.25">
      <c r="A50" s="78"/>
      <c r="B50" s="78"/>
      <c r="C50" s="105" t="str" cm="1">
        <f t="array" ref="C50">IFERROR(INDEX(Tb_KostenOpties[],MATCH(B50,Tb_KostenOptiesDB[KostenOptie],0),IFERROR(MATCH(Methode_Keuze,Tb_KostenOptiesDB[#Headers],0),2)),"")</f>
        <v/>
      </c>
      <c r="D50" s="117">
        <f>IFERROR(INDEX(Tb_ProjectKosten[],MATCH($B50,Tb_ProjectKosten[Begroting],0),6),0)</f>
        <v>0</v>
      </c>
      <c r="E50" s="115">
        <f>SUMIFS('8. Uitgaven betaalverzoek'!$U:$U,'8. Uitgaven betaalverzoek'!$E:$E,$A50,'8. Uitgaven betaalverzoek'!$F:$F,$B50)</f>
        <v>0</v>
      </c>
      <c r="F50" s="115">
        <f>SUMIFS('8. Uitgaven betaalverzoek'!$V:$V,'8. Uitgaven betaalverzoek'!$E:$E,$A50,'8. Uitgaven betaalverzoek'!$F:$F,$B50)</f>
        <v>0</v>
      </c>
      <c r="G50" s="115" t="str">
        <f>IF(C50&lt;&gt;"",SUMIFS('8. Uitgaven betaalverzoek'!$W:$W,'8. Uitgaven betaalverzoek'!$E:$E,$A50,'8. Uitgaven betaalverzoek'!$F:$F,$B50),"")</f>
        <v/>
      </c>
      <c r="H50" s="115" t="str">
        <f>IF(C50&lt;&gt;"",SUMIFS('8. Uitgaven betaalverzoek'!$X:$X,'8. Uitgaven betaalverzoek'!$E:$E,$A50,'8. Uitgaven betaalverzoek'!$F:$F,$B50),"")</f>
        <v/>
      </c>
      <c r="I50" s="117" t="str">
        <f>IFERROR(VLOOKUP(A50,Lijsten!$AD:$AE,2,0),"")</f>
        <v/>
      </c>
      <c r="J50" s="115">
        <f t="shared" si="4"/>
        <v>0</v>
      </c>
      <c r="K50" s="115">
        <f t="shared" si="1"/>
        <v>0</v>
      </c>
      <c r="L50" s="115">
        <f>SUMIFS('8. Uitgaven betaalverzoek'!$U:$U,'8. Uitgaven betaalverzoek'!$E:$E,$A50,'8. Uitgaven betaalverzoek'!$F:$F,$B50,'8. Uitgaven betaalverzoek'!$A:$A,Keuze_DB_Nr)</f>
        <v>0</v>
      </c>
      <c r="M50" s="115">
        <f>SUMIFS('8. Uitgaven betaalverzoek'!$V:$V,'8. Uitgaven betaalverzoek'!$E:$E,$A50,'8. Uitgaven betaalverzoek'!$F:$F,$B50,'8. Uitgaven betaalverzoek'!$A:$A,Keuze_DB_Nr)</f>
        <v>0</v>
      </c>
      <c r="N50" s="115" t="str">
        <f>IF($C50&lt;&gt;"",SUMIFS('8. Uitgaven betaalverzoek'!$W:$W,'8. Uitgaven betaalverzoek'!$E:$E,$A50,'8. Uitgaven betaalverzoek'!$F:$F,$B50,'8. Uitgaven betaalverzoek'!$A:$A,Keuze_DB_Nr),"")</f>
        <v/>
      </c>
      <c r="O50" s="115" t="str">
        <f>IF($C50&lt;&gt;"",SUMIFS('8. Uitgaven betaalverzoek'!$X:$X,'8. Uitgaven betaalverzoek'!$E:$E,$A50,'8. Uitgaven betaalverzoek'!$F:$F,$B50,'8. Uitgaven betaalverzoek'!$A:$A,Keuze_DB_Nr),"")</f>
        <v/>
      </c>
      <c r="P50" s="115">
        <f t="shared" si="5"/>
        <v>0</v>
      </c>
      <c r="Q50" s="115">
        <f t="shared" si="6"/>
        <v>0</v>
      </c>
      <c r="R50" s="115">
        <f>SUMIFS('8. Uitgaven betaalverzoek'!$U:$U,'8. Uitgaven betaalverzoek'!$E:$E,$A50,'8. Uitgaven betaalverzoek'!$F:$F,$B50,'8. Uitgaven betaalverzoek'!$A:$A,Keuze_DB_Nr_BEO)</f>
        <v>0</v>
      </c>
      <c r="S50" s="115">
        <f>SUMIFS('8. Uitgaven betaalverzoek'!$V:$V,'8. Uitgaven betaalverzoek'!$E:$E,$A50,'8. Uitgaven betaalverzoek'!$F:$F,$B50,'8. Uitgaven betaalverzoek'!$A:$A,Keuze_DB_Nr_BEO)</f>
        <v>0</v>
      </c>
      <c r="T50" s="115" t="str">
        <f>IF($C50&lt;&gt;"",SUMIFS('8. Uitgaven betaalverzoek'!$W:$W,'8. Uitgaven betaalverzoek'!$E:$E,$A50,'8. Uitgaven betaalverzoek'!$F:$F,$B50,'8. Uitgaven betaalverzoek'!$A:$A,Keuze_DB_Nr_BEO),"")</f>
        <v/>
      </c>
      <c r="U50" s="115" t="str">
        <f>IF($C50&lt;&gt;"",SUMIFS('8. Uitgaven betaalverzoek'!$X:$X,'8. Uitgaven betaalverzoek'!$E:$E,$A50,'8. Uitgaven betaalverzoek'!$F:$F,$B50,'8. Uitgaven betaalverzoek'!$A:$A,Keuze_DB_Nr_BEO),"")</f>
        <v/>
      </c>
      <c r="V50" s="115">
        <f t="shared" si="2"/>
        <v>0</v>
      </c>
      <c r="W50" s="115">
        <f t="shared" si="3"/>
        <v>0</v>
      </c>
    </row>
    <row r="51" spans="1:23" x14ac:dyDescent="0.25">
      <c r="A51" s="18"/>
      <c r="B51" s="18"/>
      <c r="C51" s="106" t="str" cm="1">
        <f t="array" ref="C51">IFERROR(INDEX(Tb_KostenOpties[],MATCH(B51,Tb_KostenOptiesDB[KostenOptie],0),IFERROR(MATCH(Methode_Keuze,Tb_KostenOptiesDB[#Headers],0),2)),"")</f>
        <v/>
      </c>
      <c r="D51" s="118">
        <f>IFERROR(INDEX(Tb_ProjectKosten[],MATCH($B51,Tb_ProjectKosten[Begroting],0),6),0)</f>
        <v>0</v>
      </c>
      <c r="E51" s="116">
        <f>SUMIFS('8. Uitgaven betaalverzoek'!$U:$U,'8. Uitgaven betaalverzoek'!$E:$E,$A51,'8. Uitgaven betaalverzoek'!$F:$F,$B51)</f>
        <v>0</v>
      </c>
      <c r="F51" s="116">
        <f>SUMIFS('8. Uitgaven betaalverzoek'!$V:$V,'8. Uitgaven betaalverzoek'!$E:$E,$A51,'8. Uitgaven betaalverzoek'!$F:$F,$B51)</f>
        <v>0</v>
      </c>
      <c r="G51" s="116" t="str">
        <f>IF(C51&lt;&gt;"",SUMIFS('8. Uitgaven betaalverzoek'!$W:$W,'8. Uitgaven betaalverzoek'!$E:$E,$A51,'8. Uitgaven betaalverzoek'!$F:$F,$B51),"")</f>
        <v/>
      </c>
      <c r="H51" s="116" t="str">
        <f>IF(C51&lt;&gt;"",SUMIFS('8. Uitgaven betaalverzoek'!$X:$X,'8. Uitgaven betaalverzoek'!$E:$E,$A51,'8. Uitgaven betaalverzoek'!$F:$F,$B51),"")</f>
        <v/>
      </c>
      <c r="I51" s="118" t="str">
        <f>IFERROR(VLOOKUP(A51,Lijsten!$AD:$AE,2,0),"")</f>
        <v/>
      </c>
      <c r="J51" s="116">
        <f t="shared" si="4"/>
        <v>0</v>
      </c>
      <c r="K51" s="116">
        <f t="shared" si="1"/>
        <v>0</v>
      </c>
      <c r="L51" s="116">
        <f>SUMIFS('8. Uitgaven betaalverzoek'!$U:$U,'8. Uitgaven betaalverzoek'!$E:$E,$A51,'8. Uitgaven betaalverzoek'!$F:$F,$B51,'8. Uitgaven betaalverzoek'!$A:$A,Keuze_DB_Nr)</f>
        <v>0</v>
      </c>
      <c r="M51" s="116">
        <f>SUMIFS('8. Uitgaven betaalverzoek'!$V:$V,'8. Uitgaven betaalverzoek'!$E:$E,$A51,'8. Uitgaven betaalverzoek'!$F:$F,$B51,'8. Uitgaven betaalverzoek'!$A:$A,Keuze_DB_Nr)</f>
        <v>0</v>
      </c>
      <c r="N51" s="116" t="str">
        <f>IF($C51&lt;&gt;"",SUMIFS('8. Uitgaven betaalverzoek'!$W:$W,'8. Uitgaven betaalverzoek'!$E:$E,$A51,'8. Uitgaven betaalverzoek'!$F:$F,$B51,'8. Uitgaven betaalverzoek'!$A:$A,Keuze_DB_Nr),"")</f>
        <v/>
      </c>
      <c r="O51" s="116" t="str">
        <f>IF($C51&lt;&gt;"",SUMIFS('8. Uitgaven betaalverzoek'!$X:$X,'8. Uitgaven betaalverzoek'!$E:$E,$A51,'8. Uitgaven betaalverzoek'!$F:$F,$B51,'8. Uitgaven betaalverzoek'!$A:$A,Keuze_DB_Nr),"")</f>
        <v/>
      </c>
      <c r="P51" s="116">
        <f t="shared" si="5"/>
        <v>0</v>
      </c>
      <c r="Q51" s="116">
        <f t="shared" si="6"/>
        <v>0</v>
      </c>
      <c r="R51" s="116">
        <f>SUMIFS('8. Uitgaven betaalverzoek'!$U:$U,'8. Uitgaven betaalverzoek'!$E:$E,$A51,'8. Uitgaven betaalverzoek'!$F:$F,$B51,'8. Uitgaven betaalverzoek'!$A:$A,Keuze_DB_Nr_BEO)</f>
        <v>0</v>
      </c>
      <c r="S51" s="116">
        <f>SUMIFS('8. Uitgaven betaalverzoek'!$V:$V,'8. Uitgaven betaalverzoek'!$E:$E,$A51,'8. Uitgaven betaalverzoek'!$F:$F,$B51,'8. Uitgaven betaalverzoek'!$A:$A,Keuze_DB_Nr_BEO)</f>
        <v>0</v>
      </c>
      <c r="T51" s="116" t="str">
        <f>IF($C51&lt;&gt;"",SUMIFS('8. Uitgaven betaalverzoek'!$W:$W,'8. Uitgaven betaalverzoek'!$E:$E,$A51,'8. Uitgaven betaalverzoek'!$F:$F,$B51,'8. Uitgaven betaalverzoek'!$A:$A,Keuze_DB_Nr_BEO),"")</f>
        <v/>
      </c>
      <c r="U51" s="116" t="str">
        <f>IF($C51&lt;&gt;"",SUMIFS('8. Uitgaven betaalverzoek'!$X:$X,'8. Uitgaven betaalverzoek'!$E:$E,$A51,'8. Uitgaven betaalverzoek'!$F:$F,$B51,'8. Uitgaven betaalverzoek'!$A:$A,Keuze_DB_Nr_BEO),"")</f>
        <v/>
      </c>
      <c r="V51" s="116">
        <f t="shared" si="2"/>
        <v>0</v>
      </c>
      <c r="W51" s="116">
        <f t="shared" si="3"/>
        <v>0</v>
      </c>
    </row>
    <row r="52" spans="1:23" x14ac:dyDescent="0.25">
      <c r="A52" s="78"/>
      <c r="B52" s="78"/>
      <c r="C52" s="105" t="str" cm="1">
        <f t="array" ref="C52">IFERROR(INDEX(Tb_KostenOpties[],MATCH(B52,Tb_KostenOptiesDB[KostenOptie],0),IFERROR(MATCH(Methode_Keuze,Tb_KostenOptiesDB[#Headers],0),2)),"")</f>
        <v/>
      </c>
      <c r="D52" s="117">
        <f>IFERROR(INDEX(Tb_ProjectKosten[],MATCH($B52,Tb_ProjectKosten[Begroting],0),6),0)</f>
        <v>0</v>
      </c>
      <c r="E52" s="115">
        <f>SUMIFS('8. Uitgaven betaalverzoek'!$U:$U,'8. Uitgaven betaalverzoek'!$E:$E,$A52,'8. Uitgaven betaalverzoek'!$F:$F,$B52)</f>
        <v>0</v>
      </c>
      <c r="F52" s="115">
        <f>SUMIFS('8. Uitgaven betaalverzoek'!$V:$V,'8. Uitgaven betaalverzoek'!$E:$E,$A52,'8. Uitgaven betaalverzoek'!$F:$F,$B52)</f>
        <v>0</v>
      </c>
      <c r="G52" s="115" t="str">
        <f>IF(C52&lt;&gt;"",SUMIFS('8. Uitgaven betaalverzoek'!$W:$W,'8. Uitgaven betaalverzoek'!$E:$E,$A52,'8. Uitgaven betaalverzoek'!$F:$F,$B52),"")</f>
        <v/>
      </c>
      <c r="H52" s="115" t="str">
        <f>IF(C52&lt;&gt;"",SUMIFS('8. Uitgaven betaalverzoek'!$X:$X,'8. Uitgaven betaalverzoek'!$E:$E,$A52,'8. Uitgaven betaalverzoek'!$F:$F,$B52),"")</f>
        <v/>
      </c>
      <c r="I52" s="117" t="str">
        <f>IFERROR(VLOOKUP(A52,Lijsten!$AD:$AE,2,0),"")</f>
        <v/>
      </c>
      <c r="J52" s="115">
        <f t="shared" si="4"/>
        <v>0</v>
      </c>
      <c r="K52" s="115">
        <f t="shared" si="1"/>
        <v>0</v>
      </c>
      <c r="L52" s="115">
        <f>SUMIFS('8. Uitgaven betaalverzoek'!$U:$U,'8. Uitgaven betaalverzoek'!$E:$E,$A52,'8. Uitgaven betaalverzoek'!$F:$F,$B52,'8. Uitgaven betaalverzoek'!$A:$A,Keuze_DB_Nr)</f>
        <v>0</v>
      </c>
      <c r="M52" s="115">
        <f>SUMIFS('8. Uitgaven betaalverzoek'!$V:$V,'8. Uitgaven betaalverzoek'!$E:$E,$A52,'8. Uitgaven betaalverzoek'!$F:$F,$B52,'8. Uitgaven betaalverzoek'!$A:$A,Keuze_DB_Nr)</f>
        <v>0</v>
      </c>
      <c r="N52" s="115" t="str">
        <f>IF($C52&lt;&gt;"",SUMIFS('8. Uitgaven betaalverzoek'!$W:$W,'8. Uitgaven betaalverzoek'!$E:$E,$A52,'8. Uitgaven betaalverzoek'!$F:$F,$B52,'8. Uitgaven betaalverzoek'!$A:$A,Keuze_DB_Nr),"")</f>
        <v/>
      </c>
      <c r="O52" s="115" t="str">
        <f>IF($C52&lt;&gt;"",SUMIFS('8. Uitgaven betaalverzoek'!$X:$X,'8. Uitgaven betaalverzoek'!$E:$E,$A52,'8. Uitgaven betaalverzoek'!$F:$F,$B52,'8. Uitgaven betaalverzoek'!$A:$A,Keuze_DB_Nr),"")</f>
        <v/>
      </c>
      <c r="P52" s="115">
        <f t="shared" si="5"/>
        <v>0</v>
      </c>
      <c r="Q52" s="115">
        <f t="shared" si="6"/>
        <v>0</v>
      </c>
      <c r="R52" s="115">
        <f>SUMIFS('8. Uitgaven betaalverzoek'!$U:$U,'8. Uitgaven betaalverzoek'!$E:$E,$A52,'8. Uitgaven betaalverzoek'!$F:$F,$B52,'8. Uitgaven betaalverzoek'!$A:$A,Keuze_DB_Nr_BEO)</f>
        <v>0</v>
      </c>
      <c r="S52" s="115">
        <f>SUMIFS('8. Uitgaven betaalverzoek'!$V:$V,'8. Uitgaven betaalverzoek'!$E:$E,$A52,'8. Uitgaven betaalverzoek'!$F:$F,$B52,'8. Uitgaven betaalverzoek'!$A:$A,Keuze_DB_Nr_BEO)</f>
        <v>0</v>
      </c>
      <c r="T52" s="115" t="str">
        <f>IF($C52&lt;&gt;"",SUMIFS('8. Uitgaven betaalverzoek'!$W:$W,'8. Uitgaven betaalverzoek'!$E:$E,$A52,'8. Uitgaven betaalverzoek'!$F:$F,$B52,'8. Uitgaven betaalverzoek'!$A:$A,Keuze_DB_Nr_BEO),"")</f>
        <v/>
      </c>
      <c r="U52" s="115" t="str">
        <f>IF($C52&lt;&gt;"",SUMIFS('8. Uitgaven betaalverzoek'!$X:$X,'8. Uitgaven betaalverzoek'!$E:$E,$A52,'8. Uitgaven betaalverzoek'!$F:$F,$B52,'8. Uitgaven betaalverzoek'!$A:$A,Keuze_DB_Nr_BEO),"")</f>
        <v/>
      </c>
      <c r="V52" s="115">
        <f t="shared" si="2"/>
        <v>0</v>
      </c>
      <c r="W52" s="115">
        <f t="shared" si="3"/>
        <v>0</v>
      </c>
    </row>
    <row r="53" spans="1:23" x14ac:dyDescent="0.25">
      <c r="A53" s="18"/>
      <c r="B53" s="18"/>
      <c r="C53" s="106" t="str" cm="1">
        <f t="array" ref="C53">IFERROR(INDEX(Tb_KostenOpties[],MATCH(B53,Tb_KostenOptiesDB[KostenOptie],0),IFERROR(MATCH(Methode_Keuze,Tb_KostenOptiesDB[#Headers],0),2)),"")</f>
        <v/>
      </c>
      <c r="D53" s="118">
        <f>IFERROR(INDEX(Tb_ProjectKosten[],MATCH($B53,Tb_ProjectKosten[Begroting],0),6),0)</f>
        <v>0</v>
      </c>
      <c r="E53" s="116">
        <f>SUMIFS('8. Uitgaven betaalverzoek'!$U:$U,'8. Uitgaven betaalverzoek'!$E:$E,$A53,'8. Uitgaven betaalverzoek'!$F:$F,$B53)</f>
        <v>0</v>
      </c>
      <c r="F53" s="116">
        <f>SUMIFS('8. Uitgaven betaalverzoek'!$V:$V,'8. Uitgaven betaalverzoek'!$E:$E,$A53,'8. Uitgaven betaalverzoek'!$F:$F,$B53)</f>
        <v>0</v>
      </c>
      <c r="G53" s="116" t="str">
        <f>IF(C53&lt;&gt;"",SUMIFS('8. Uitgaven betaalverzoek'!$W:$W,'8. Uitgaven betaalverzoek'!$E:$E,$A53,'8. Uitgaven betaalverzoek'!$F:$F,$B53),"")</f>
        <v/>
      </c>
      <c r="H53" s="116" t="str">
        <f>IF(C53&lt;&gt;"",SUMIFS('8. Uitgaven betaalverzoek'!$X:$X,'8. Uitgaven betaalverzoek'!$E:$E,$A53,'8. Uitgaven betaalverzoek'!$F:$F,$B53),"")</f>
        <v/>
      </c>
      <c r="I53" s="118" t="str">
        <f>IFERROR(VLOOKUP(A53,Lijsten!$AD:$AE,2,0),"")</f>
        <v/>
      </c>
      <c r="J53" s="116">
        <f t="shared" si="4"/>
        <v>0</v>
      </c>
      <c r="K53" s="116">
        <f t="shared" si="1"/>
        <v>0</v>
      </c>
      <c r="L53" s="116">
        <f>SUMIFS('8. Uitgaven betaalverzoek'!$U:$U,'8. Uitgaven betaalverzoek'!$E:$E,$A53,'8. Uitgaven betaalverzoek'!$F:$F,$B53,'8. Uitgaven betaalverzoek'!$A:$A,Keuze_DB_Nr)</f>
        <v>0</v>
      </c>
      <c r="M53" s="116">
        <f>SUMIFS('8. Uitgaven betaalverzoek'!$V:$V,'8. Uitgaven betaalverzoek'!$E:$E,$A53,'8. Uitgaven betaalverzoek'!$F:$F,$B53,'8. Uitgaven betaalverzoek'!$A:$A,Keuze_DB_Nr)</f>
        <v>0</v>
      </c>
      <c r="N53" s="116" t="str">
        <f>IF($C53&lt;&gt;"",SUMIFS('8. Uitgaven betaalverzoek'!$W:$W,'8. Uitgaven betaalverzoek'!$E:$E,$A53,'8. Uitgaven betaalverzoek'!$F:$F,$B53,'8. Uitgaven betaalverzoek'!$A:$A,Keuze_DB_Nr),"")</f>
        <v/>
      </c>
      <c r="O53" s="116" t="str">
        <f>IF($C53&lt;&gt;"",SUMIFS('8. Uitgaven betaalverzoek'!$X:$X,'8. Uitgaven betaalverzoek'!$E:$E,$A53,'8. Uitgaven betaalverzoek'!$F:$F,$B53,'8. Uitgaven betaalverzoek'!$A:$A,Keuze_DB_Nr),"")</f>
        <v/>
      </c>
      <c r="P53" s="116">
        <f t="shared" si="5"/>
        <v>0</v>
      </c>
      <c r="Q53" s="116">
        <f t="shared" si="6"/>
        <v>0</v>
      </c>
      <c r="R53" s="116">
        <f>SUMIFS('8. Uitgaven betaalverzoek'!$U:$U,'8. Uitgaven betaalverzoek'!$E:$E,$A53,'8. Uitgaven betaalverzoek'!$F:$F,$B53,'8. Uitgaven betaalverzoek'!$A:$A,Keuze_DB_Nr_BEO)</f>
        <v>0</v>
      </c>
      <c r="S53" s="116">
        <f>SUMIFS('8. Uitgaven betaalverzoek'!$V:$V,'8. Uitgaven betaalverzoek'!$E:$E,$A53,'8. Uitgaven betaalverzoek'!$F:$F,$B53,'8. Uitgaven betaalverzoek'!$A:$A,Keuze_DB_Nr_BEO)</f>
        <v>0</v>
      </c>
      <c r="T53" s="116" t="str">
        <f>IF($C53&lt;&gt;"",SUMIFS('8. Uitgaven betaalverzoek'!$W:$W,'8. Uitgaven betaalverzoek'!$E:$E,$A53,'8. Uitgaven betaalverzoek'!$F:$F,$B53,'8. Uitgaven betaalverzoek'!$A:$A,Keuze_DB_Nr_BEO),"")</f>
        <v/>
      </c>
      <c r="U53" s="116" t="str">
        <f>IF($C53&lt;&gt;"",SUMIFS('8. Uitgaven betaalverzoek'!$X:$X,'8. Uitgaven betaalverzoek'!$E:$E,$A53,'8. Uitgaven betaalverzoek'!$F:$F,$B53,'8. Uitgaven betaalverzoek'!$A:$A,Keuze_DB_Nr_BEO),"")</f>
        <v/>
      </c>
      <c r="V53" s="116">
        <f t="shared" si="2"/>
        <v>0</v>
      </c>
      <c r="W53" s="116">
        <f t="shared" si="3"/>
        <v>0</v>
      </c>
    </row>
    <row r="54" spans="1:23" x14ac:dyDescent="0.25">
      <c r="A54" s="78"/>
      <c r="B54" s="78"/>
      <c r="C54" s="105" t="str" cm="1">
        <f t="array" ref="C54">IFERROR(INDEX(Tb_KostenOpties[],MATCH(B54,Tb_KostenOptiesDB[KostenOptie],0),IFERROR(MATCH(Methode_Keuze,Tb_KostenOptiesDB[#Headers],0),2)),"")</f>
        <v/>
      </c>
      <c r="D54" s="117">
        <f>IFERROR(INDEX(Tb_ProjectKosten[],MATCH($B54,Tb_ProjectKosten[Begroting],0),6),0)</f>
        <v>0</v>
      </c>
      <c r="E54" s="115">
        <f>SUMIFS('8. Uitgaven betaalverzoek'!$U:$U,'8. Uitgaven betaalverzoek'!$E:$E,$A54,'8. Uitgaven betaalverzoek'!$F:$F,$B54)</f>
        <v>0</v>
      </c>
      <c r="F54" s="115">
        <f>SUMIFS('8. Uitgaven betaalverzoek'!$V:$V,'8. Uitgaven betaalverzoek'!$E:$E,$A54,'8. Uitgaven betaalverzoek'!$F:$F,$B54)</f>
        <v>0</v>
      </c>
      <c r="G54" s="115" t="str">
        <f>IF(C54&lt;&gt;"",SUMIFS('8. Uitgaven betaalverzoek'!$W:$W,'8. Uitgaven betaalverzoek'!$E:$E,$A54,'8. Uitgaven betaalverzoek'!$F:$F,$B54),"")</f>
        <v/>
      </c>
      <c r="H54" s="115" t="str">
        <f>IF(C54&lt;&gt;"",SUMIFS('8. Uitgaven betaalverzoek'!$X:$X,'8. Uitgaven betaalverzoek'!$E:$E,$A54,'8. Uitgaven betaalverzoek'!$F:$F,$B54),"")</f>
        <v/>
      </c>
      <c r="I54" s="117" t="str">
        <f>IFERROR(VLOOKUP(A54,Lijsten!$AD:$AE,2,0),"")</f>
        <v/>
      </c>
      <c r="J54" s="115">
        <f t="shared" si="4"/>
        <v>0</v>
      </c>
      <c r="K54" s="115">
        <f t="shared" si="1"/>
        <v>0</v>
      </c>
      <c r="L54" s="115">
        <f>SUMIFS('8. Uitgaven betaalverzoek'!$U:$U,'8. Uitgaven betaalverzoek'!$E:$E,$A54,'8. Uitgaven betaalverzoek'!$F:$F,$B54,'8. Uitgaven betaalverzoek'!$A:$A,Keuze_DB_Nr)</f>
        <v>0</v>
      </c>
      <c r="M54" s="115">
        <f>SUMIFS('8. Uitgaven betaalverzoek'!$V:$V,'8. Uitgaven betaalverzoek'!$E:$E,$A54,'8. Uitgaven betaalverzoek'!$F:$F,$B54,'8. Uitgaven betaalverzoek'!$A:$A,Keuze_DB_Nr)</f>
        <v>0</v>
      </c>
      <c r="N54" s="115" t="str">
        <f>IF($C54&lt;&gt;"",SUMIFS('8. Uitgaven betaalverzoek'!$W:$W,'8. Uitgaven betaalverzoek'!$E:$E,$A54,'8. Uitgaven betaalverzoek'!$F:$F,$B54,'8. Uitgaven betaalverzoek'!$A:$A,Keuze_DB_Nr),"")</f>
        <v/>
      </c>
      <c r="O54" s="115" t="str">
        <f>IF($C54&lt;&gt;"",SUMIFS('8. Uitgaven betaalverzoek'!$X:$X,'8. Uitgaven betaalverzoek'!$E:$E,$A54,'8. Uitgaven betaalverzoek'!$F:$F,$B54,'8. Uitgaven betaalverzoek'!$A:$A,Keuze_DB_Nr),"")</f>
        <v/>
      </c>
      <c r="P54" s="115">
        <f t="shared" si="5"/>
        <v>0</v>
      </c>
      <c r="Q54" s="115">
        <f t="shared" si="6"/>
        <v>0</v>
      </c>
      <c r="R54" s="115">
        <f>SUMIFS('8. Uitgaven betaalverzoek'!$U:$U,'8. Uitgaven betaalverzoek'!$E:$E,$A54,'8. Uitgaven betaalverzoek'!$F:$F,$B54,'8. Uitgaven betaalverzoek'!$A:$A,Keuze_DB_Nr_BEO)</f>
        <v>0</v>
      </c>
      <c r="S54" s="115">
        <f>SUMIFS('8. Uitgaven betaalverzoek'!$V:$V,'8. Uitgaven betaalverzoek'!$E:$E,$A54,'8. Uitgaven betaalverzoek'!$F:$F,$B54,'8. Uitgaven betaalverzoek'!$A:$A,Keuze_DB_Nr_BEO)</f>
        <v>0</v>
      </c>
      <c r="T54" s="115" t="str">
        <f>IF($C54&lt;&gt;"",SUMIFS('8. Uitgaven betaalverzoek'!$W:$W,'8. Uitgaven betaalverzoek'!$E:$E,$A54,'8. Uitgaven betaalverzoek'!$F:$F,$B54,'8. Uitgaven betaalverzoek'!$A:$A,Keuze_DB_Nr_BEO),"")</f>
        <v/>
      </c>
      <c r="U54" s="115" t="str">
        <f>IF($C54&lt;&gt;"",SUMIFS('8. Uitgaven betaalverzoek'!$X:$X,'8. Uitgaven betaalverzoek'!$E:$E,$A54,'8. Uitgaven betaalverzoek'!$F:$F,$B54,'8. Uitgaven betaalverzoek'!$A:$A,Keuze_DB_Nr_BEO),"")</f>
        <v/>
      </c>
      <c r="V54" s="115">
        <f t="shared" si="2"/>
        <v>0</v>
      </c>
      <c r="W54" s="115">
        <f t="shared" si="3"/>
        <v>0</v>
      </c>
    </row>
    <row r="55" spans="1:23" x14ac:dyDescent="0.25">
      <c r="A55" s="18"/>
      <c r="B55" s="18"/>
      <c r="C55" s="106" t="str" cm="1">
        <f t="array" ref="C55">IFERROR(INDEX(Tb_KostenOpties[],MATCH(B55,Tb_KostenOptiesDB[KostenOptie],0),IFERROR(MATCH(Methode_Keuze,Tb_KostenOptiesDB[#Headers],0),2)),"")</f>
        <v/>
      </c>
      <c r="D55" s="118">
        <f>IFERROR(INDEX(Tb_ProjectKosten[],MATCH($B55,Tb_ProjectKosten[Begroting],0),6),0)</f>
        <v>0</v>
      </c>
      <c r="E55" s="116">
        <f>SUMIFS('8. Uitgaven betaalverzoek'!$U:$U,'8. Uitgaven betaalverzoek'!$E:$E,$A55,'8. Uitgaven betaalverzoek'!$F:$F,$B55)</f>
        <v>0</v>
      </c>
      <c r="F55" s="116">
        <f>SUMIFS('8. Uitgaven betaalverzoek'!$V:$V,'8. Uitgaven betaalverzoek'!$E:$E,$A55,'8. Uitgaven betaalverzoek'!$F:$F,$B55)</f>
        <v>0</v>
      </c>
      <c r="G55" s="116" t="str">
        <f>IF(C55&lt;&gt;"",SUMIFS('8. Uitgaven betaalverzoek'!$W:$W,'8. Uitgaven betaalverzoek'!$E:$E,$A55,'8. Uitgaven betaalverzoek'!$F:$F,$B55),"")</f>
        <v/>
      </c>
      <c r="H55" s="116" t="str">
        <f>IF(C55&lt;&gt;"",SUMIFS('8. Uitgaven betaalverzoek'!$X:$X,'8. Uitgaven betaalverzoek'!$E:$E,$A55,'8. Uitgaven betaalverzoek'!$F:$F,$B55),"")</f>
        <v/>
      </c>
      <c r="I55" s="118" t="str">
        <f>IFERROR(VLOOKUP(A55,Lijsten!$AD:$AE,2,0),"")</f>
        <v/>
      </c>
      <c r="J55" s="116">
        <f t="shared" si="4"/>
        <v>0</v>
      </c>
      <c r="K55" s="116">
        <f t="shared" si="1"/>
        <v>0</v>
      </c>
      <c r="L55" s="116">
        <f>SUMIFS('8. Uitgaven betaalverzoek'!$U:$U,'8. Uitgaven betaalverzoek'!$E:$E,$A55,'8. Uitgaven betaalverzoek'!$F:$F,$B55,'8. Uitgaven betaalverzoek'!$A:$A,Keuze_DB_Nr)</f>
        <v>0</v>
      </c>
      <c r="M55" s="116">
        <f>SUMIFS('8. Uitgaven betaalverzoek'!$V:$V,'8. Uitgaven betaalverzoek'!$E:$E,$A55,'8. Uitgaven betaalverzoek'!$F:$F,$B55,'8. Uitgaven betaalverzoek'!$A:$A,Keuze_DB_Nr)</f>
        <v>0</v>
      </c>
      <c r="N55" s="116" t="str">
        <f>IF($C55&lt;&gt;"",SUMIFS('8. Uitgaven betaalverzoek'!$W:$W,'8. Uitgaven betaalverzoek'!$E:$E,$A55,'8. Uitgaven betaalverzoek'!$F:$F,$B55,'8. Uitgaven betaalverzoek'!$A:$A,Keuze_DB_Nr),"")</f>
        <v/>
      </c>
      <c r="O55" s="116" t="str">
        <f>IF($C55&lt;&gt;"",SUMIFS('8. Uitgaven betaalverzoek'!$X:$X,'8. Uitgaven betaalverzoek'!$E:$E,$A55,'8. Uitgaven betaalverzoek'!$F:$F,$B55,'8. Uitgaven betaalverzoek'!$A:$A,Keuze_DB_Nr),"")</f>
        <v/>
      </c>
      <c r="P55" s="116">
        <f t="shared" si="5"/>
        <v>0</v>
      </c>
      <c r="Q55" s="116">
        <f t="shared" si="6"/>
        <v>0</v>
      </c>
      <c r="R55" s="116">
        <f>SUMIFS('8. Uitgaven betaalverzoek'!$U:$U,'8. Uitgaven betaalverzoek'!$E:$E,$A55,'8. Uitgaven betaalverzoek'!$F:$F,$B55,'8. Uitgaven betaalverzoek'!$A:$A,Keuze_DB_Nr_BEO)</f>
        <v>0</v>
      </c>
      <c r="S55" s="116">
        <f>SUMIFS('8. Uitgaven betaalverzoek'!$V:$V,'8. Uitgaven betaalverzoek'!$E:$E,$A55,'8. Uitgaven betaalverzoek'!$F:$F,$B55,'8. Uitgaven betaalverzoek'!$A:$A,Keuze_DB_Nr_BEO)</f>
        <v>0</v>
      </c>
      <c r="T55" s="116" t="str">
        <f>IF($C55&lt;&gt;"",SUMIFS('8. Uitgaven betaalverzoek'!$W:$W,'8. Uitgaven betaalverzoek'!$E:$E,$A55,'8. Uitgaven betaalverzoek'!$F:$F,$B55,'8. Uitgaven betaalverzoek'!$A:$A,Keuze_DB_Nr_BEO),"")</f>
        <v/>
      </c>
      <c r="U55" s="116" t="str">
        <f>IF($C55&lt;&gt;"",SUMIFS('8. Uitgaven betaalverzoek'!$X:$X,'8. Uitgaven betaalverzoek'!$E:$E,$A55,'8. Uitgaven betaalverzoek'!$F:$F,$B55,'8. Uitgaven betaalverzoek'!$A:$A,Keuze_DB_Nr_BEO),"")</f>
        <v/>
      </c>
      <c r="V55" s="116">
        <f t="shared" si="2"/>
        <v>0</v>
      </c>
      <c r="W55" s="116">
        <f t="shared" si="3"/>
        <v>0</v>
      </c>
    </row>
    <row r="56" spans="1:23" x14ac:dyDescent="0.25">
      <c r="A56" s="78"/>
      <c r="B56" s="78"/>
      <c r="C56" s="105" t="str" cm="1">
        <f t="array" ref="C56">IFERROR(INDEX(Tb_KostenOpties[],MATCH(B56,Tb_KostenOptiesDB[KostenOptie],0),IFERROR(MATCH(Methode_Keuze,Tb_KostenOptiesDB[#Headers],0),2)),"")</f>
        <v/>
      </c>
      <c r="D56" s="117">
        <f>IFERROR(INDEX(Tb_ProjectKosten[],MATCH($B56,Tb_ProjectKosten[Begroting],0),6),0)</f>
        <v>0</v>
      </c>
      <c r="E56" s="115">
        <f>SUMIFS('8. Uitgaven betaalverzoek'!$U:$U,'8. Uitgaven betaalverzoek'!$E:$E,$A56,'8. Uitgaven betaalverzoek'!$F:$F,$B56)</f>
        <v>0</v>
      </c>
      <c r="F56" s="115">
        <f>SUMIFS('8. Uitgaven betaalverzoek'!$V:$V,'8. Uitgaven betaalverzoek'!$E:$E,$A56,'8. Uitgaven betaalverzoek'!$F:$F,$B56)</f>
        <v>0</v>
      </c>
      <c r="G56" s="115" t="str">
        <f>IF(C56&lt;&gt;"",SUMIFS('8. Uitgaven betaalverzoek'!$W:$W,'8. Uitgaven betaalverzoek'!$E:$E,$A56,'8. Uitgaven betaalverzoek'!$F:$F,$B56),"")</f>
        <v/>
      </c>
      <c r="H56" s="115" t="str">
        <f>IF(C56&lt;&gt;"",SUMIFS('8. Uitgaven betaalverzoek'!$X:$X,'8. Uitgaven betaalverzoek'!$E:$E,$A56,'8. Uitgaven betaalverzoek'!$F:$F,$B56),"")</f>
        <v/>
      </c>
      <c r="I56" s="117" t="str">
        <f>IFERROR(VLOOKUP(A56,Lijsten!$AD:$AE,2,0),"")</f>
        <v/>
      </c>
      <c r="J56" s="115">
        <f t="shared" si="4"/>
        <v>0</v>
      </c>
      <c r="K56" s="115">
        <f t="shared" si="1"/>
        <v>0</v>
      </c>
      <c r="L56" s="115">
        <f>SUMIFS('8. Uitgaven betaalverzoek'!$U:$U,'8. Uitgaven betaalverzoek'!$E:$E,$A56,'8. Uitgaven betaalverzoek'!$F:$F,$B56,'8. Uitgaven betaalverzoek'!$A:$A,Keuze_DB_Nr)</f>
        <v>0</v>
      </c>
      <c r="M56" s="115">
        <f>SUMIFS('8. Uitgaven betaalverzoek'!$V:$V,'8. Uitgaven betaalverzoek'!$E:$E,$A56,'8. Uitgaven betaalverzoek'!$F:$F,$B56,'8. Uitgaven betaalverzoek'!$A:$A,Keuze_DB_Nr)</f>
        <v>0</v>
      </c>
      <c r="N56" s="115" t="str">
        <f>IF($C56&lt;&gt;"",SUMIFS('8. Uitgaven betaalverzoek'!$W:$W,'8. Uitgaven betaalverzoek'!$E:$E,$A56,'8. Uitgaven betaalverzoek'!$F:$F,$B56,'8. Uitgaven betaalverzoek'!$A:$A,Keuze_DB_Nr),"")</f>
        <v/>
      </c>
      <c r="O56" s="115" t="str">
        <f>IF($C56&lt;&gt;"",SUMIFS('8. Uitgaven betaalverzoek'!$X:$X,'8. Uitgaven betaalverzoek'!$E:$E,$A56,'8. Uitgaven betaalverzoek'!$F:$F,$B56,'8. Uitgaven betaalverzoek'!$A:$A,Keuze_DB_Nr),"")</f>
        <v/>
      </c>
      <c r="P56" s="115">
        <f t="shared" si="5"/>
        <v>0</v>
      </c>
      <c r="Q56" s="115">
        <f t="shared" si="6"/>
        <v>0</v>
      </c>
      <c r="R56" s="115">
        <f>SUMIFS('8. Uitgaven betaalverzoek'!$U:$U,'8. Uitgaven betaalverzoek'!$E:$E,$A56,'8. Uitgaven betaalverzoek'!$F:$F,$B56,'8. Uitgaven betaalverzoek'!$A:$A,Keuze_DB_Nr_BEO)</f>
        <v>0</v>
      </c>
      <c r="S56" s="115">
        <f>SUMIFS('8. Uitgaven betaalverzoek'!$V:$V,'8. Uitgaven betaalverzoek'!$E:$E,$A56,'8. Uitgaven betaalverzoek'!$F:$F,$B56,'8. Uitgaven betaalverzoek'!$A:$A,Keuze_DB_Nr_BEO)</f>
        <v>0</v>
      </c>
      <c r="T56" s="115" t="str">
        <f>IF($C56&lt;&gt;"",SUMIFS('8. Uitgaven betaalverzoek'!$W:$W,'8. Uitgaven betaalverzoek'!$E:$E,$A56,'8. Uitgaven betaalverzoek'!$F:$F,$B56,'8. Uitgaven betaalverzoek'!$A:$A,Keuze_DB_Nr_BEO),"")</f>
        <v/>
      </c>
      <c r="U56" s="115" t="str">
        <f>IF($C56&lt;&gt;"",SUMIFS('8. Uitgaven betaalverzoek'!$X:$X,'8. Uitgaven betaalverzoek'!$E:$E,$A56,'8. Uitgaven betaalverzoek'!$F:$F,$B56,'8. Uitgaven betaalverzoek'!$A:$A,Keuze_DB_Nr_BEO),"")</f>
        <v/>
      </c>
      <c r="V56" s="115">
        <f t="shared" si="2"/>
        <v>0</v>
      </c>
      <c r="W56" s="115">
        <f t="shared" si="3"/>
        <v>0</v>
      </c>
    </row>
    <row r="57" spans="1:23" x14ac:dyDescent="0.25">
      <c r="A57" s="18"/>
      <c r="B57" s="18"/>
      <c r="C57" s="106" t="str" cm="1">
        <f t="array" ref="C57">IFERROR(INDEX(Tb_KostenOpties[],MATCH(B57,Tb_KostenOptiesDB[KostenOptie],0),IFERROR(MATCH(Methode_Keuze,Tb_KostenOptiesDB[#Headers],0),2)),"")</f>
        <v/>
      </c>
      <c r="D57" s="118">
        <f>IFERROR(INDEX(Tb_ProjectKosten[],MATCH($B57,Tb_ProjectKosten[Begroting],0),6),0)</f>
        <v>0</v>
      </c>
      <c r="E57" s="116">
        <f>SUMIFS('8. Uitgaven betaalverzoek'!$U:$U,'8. Uitgaven betaalverzoek'!$E:$E,$A57,'8. Uitgaven betaalverzoek'!$F:$F,$B57)</f>
        <v>0</v>
      </c>
      <c r="F57" s="116">
        <f>SUMIFS('8. Uitgaven betaalverzoek'!$V:$V,'8. Uitgaven betaalverzoek'!$E:$E,$A57,'8. Uitgaven betaalverzoek'!$F:$F,$B57)</f>
        <v>0</v>
      </c>
      <c r="G57" s="116" t="str">
        <f>IF(C57&lt;&gt;"",SUMIFS('8. Uitgaven betaalverzoek'!$W:$W,'8. Uitgaven betaalverzoek'!$E:$E,$A57,'8. Uitgaven betaalverzoek'!$F:$F,$B57),"")</f>
        <v/>
      </c>
      <c r="H57" s="116" t="str">
        <f>IF(C57&lt;&gt;"",SUMIFS('8. Uitgaven betaalverzoek'!$X:$X,'8. Uitgaven betaalverzoek'!$E:$E,$A57,'8. Uitgaven betaalverzoek'!$F:$F,$B57),"")</f>
        <v/>
      </c>
      <c r="I57" s="118" t="str">
        <f>IFERROR(VLOOKUP(A57,Lijsten!$AD:$AE,2,0),"")</f>
        <v/>
      </c>
      <c r="J57" s="116">
        <f t="shared" si="4"/>
        <v>0</v>
      </c>
      <c r="K57" s="116">
        <f t="shared" si="1"/>
        <v>0</v>
      </c>
      <c r="L57" s="116">
        <f>SUMIFS('8. Uitgaven betaalverzoek'!$U:$U,'8. Uitgaven betaalverzoek'!$E:$E,$A57,'8. Uitgaven betaalverzoek'!$F:$F,$B57,'8. Uitgaven betaalverzoek'!$A:$A,Keuze_DB_Nr)</f>
        <v>0</v>
      </c>
      <c r="M57" s="116">
        <f>SUMIFS('8. Uitgaven betaalverzoek'!$V:$V,'8. Uitgaven betaalverzoek'!$E:$E,$A57,'8. Uitgaven betaalverzoek'!$F:$F,$B57,'8. Uitgaven betaalverzoek'!$A:$A,Keuze_DB_Nr)</f>
        <v>0</v>
      </c>
      <c r="N57" s="116" t="str">
        <f>IF($C57&lt;&gt;"",SUMIFS('8. Uitgaven betaalverzoek'!$W:$W,'8. Uitgaven betaalverzoek'!$E:$E,$A57,'8. Uitgaven betaalverzoek'!$F:$F,$B57,'8. Uitgaven betaalverzoek'!$A:$A,Keuze_DB_Nr),"")</f>
        <v/>
      </c>
      <c r="O57" s="116" t="str">
        <f>IF($C57&lt;&gt;"",SUMIFS('8. Uitgaven betaalverzoek'!$X:$X,'8. Uitgaven betaalverzoek'!$E:$E,$A57,'8. Uitgaven betaalverzoek'!$F:$F,$B57,'8. Uitgaven betaalverzoek'!$A:$A,Keuze_DB_Nr),"")</f>
        <v/>
      </c>
      <c r="P57" s="116">
        <f t="shared" si="5"/>
        <v>0</v>
      </c>
      <c r="Q57" s="116">
        <f t="shared" si="6"/>
        <v>0</v>
      </c>
      <c r="R57" s="116">
        <f>SUMIFS('8. Uitgaven betaalverzoek'!$U:$U,'8. Uitgaven betaalverzoek'!$E:$E,$A57,'8. Uitgaven betaalverzoek'!$F:$F,$B57,'8. Uitgaven betaalverzoek'!$A:$A,Keuze_DB_Nr_BEO)</f>
        <v>0</v>
      </c>
      <c r="S57" s="116">
        <f>SUMIFS('8. Uitgaven betaalverzoek'!$V:$V,'8. Uitgaven betaalverzoek'!$E:$E,$A57,'8. Uitgaven betaalverzoek'!$F:$F,$B57,'8. Uitgaven betaalverzoek'!$A:$A,Keuze_DB_Nr_BEO)</f>
        <v>0</v>
      </c>
      <c r="T57" s="116" t="str">
        <f>IF($C57&lt;&gt;"",SUMIFS('8. Uitgaven betaalverzoek'!$W:$W,'8. Uitgaven betaalverzoek'!$E:$E,$A57,'8. Uitgaven betaalverzoek'!$F:$F,$B57,'8. Uitgaven betaalverzoek'!$A:$A,Keuze_DB_Nr_BEO),"")</f>
        <v/>
      </c>
      <c r="U57" s="116" t="str">
        <f>IF($C57&lt;&gt;"",SUMIFS('8. Uitgaven betaalverzoek'!$X:$X,'8. Uitgaven betaalverzoek'!$E:$E,$A57,'8. Uitgaven betaalverzoek'!$F:$F,$B57,'8. Uitgaven betaalverzoek'!$A:$A,Keuze_DB_Nr_BEO),"")</f>
        <v/>
      </c>
      <c r="V57" s="116">
        <f t="shared" si="2"/>
        <v>0</v>
      </c>
      <c r="W57" s="116">
        <f t="shared" si="3"/>
        <v>0</v>
      </c>
    </row>
    <row r="58" spans="1:23" x14ac:dyDescent="0.25">
      <c r="A58" s="78"/>
      <c r="B58" s="78"/>
      <c r="C58" s="105" t="str" cm="1">
        <f t="array" ref="C58">IFERROR(INDEX(Tb_KostenOpties[],MATCH(B58,Tb_KostenOptiesDB[KostenOptie],0),IFERROR(MATCH(Methode_Keuze,Tb_KostenOptiesDB[#Headers],0),2)),"")</f>
        <v/>
      </c>
      <c r="D58" s="117">
        <f>IFERROR(INDEX(Tb_ProjectKosten[],MATCH($B58,Tb_ProjectKosten[Begroting],0),6),0)</f>
        <v>0</v>
      </c>
      <c r="E58" s="115">
        <f>SUMIFS('8. Uitgaven betaalverzoek'!$U:$U,'8. Uitgaven betaalverzoek'!$E:$E,$A58,'8. Uitgaven betaalverzoek'!$F:$F,$B58)</f>
        <v>0</v>
      </c>
      <c r="F58" s="115">
        <f>SUMIFS('8. Uitgaven betaalverzoek'!$V:$V,'8. Uitgaven betaalverzoek'!$E:$E,$A58,'8. Uitgaven betaalverzoek'!$F:$F,$B58)</f>
        <v>0</v>
      </c>
      <c r="G58" s="115" t="str">
        <f>IF(C58&lt;&gt;"",SUMIFS('8. Uitgaven betaalverzoek'!$W:$W,'8. Uitgaven betaalverzoek'!$E:$E,$A58,'8. Uitgaven betaalverzoek'!$F:$F,$B58),"")</f>
        <v/>
      </c>
      <c r="H58" s="115" t="str">
        <f>IF(C58&lt;&gt;"",SUMIFS('8. Uitgaven betaalverzoek'!$X:$X,'8. Uitgaven betaalverzoek'!$E:$E,$A58,'8. Uitgaven betaalverzoek'!$F:$F,$B58),"")</f>
        <v/>
      </c>
      <c r="I58" s="117" t="str">
        <f>IFERROR(VLOOKUP(A58,Lijsten!$AD:$AE,2,0),"")</f>
        <v/>
      </c>
      <c r="J58" s="115">
        <f t="shared" si="4"/>
        <v>0</v>
      </c>
      <c r="K58" s="115">
        <f t="shared" si="1"/>
        <v>0</v>
      </c>
      <c r="L58" s="115">
        <f>SUMIFS('8. Uitgaven betaalverzoek'!$U:$U,'8. Uitgaven betaalverzoek'!$E:$E,$A58,'8. Uitgaven betaalverzoek'!$F:$F,$B58,'8. Uitgaven betaalverzoek'!$A:$A,Keuze_DB_Nr)</f>
        <v>0</v>
      </c>
      <c r="M58" s="115">
        <f>SUMIFS('8. Uitgaven betaalverzoek'!$V:$V,'8. Uitgaven betaalverzoek'!$E:$E,$A58,'8. Uitgaven betaalverzoek'!$F:$F,$B58,'8. Uitgaven betaalverzoek'!$A:$A,Keuze_DB_Nr)</f>
        <v>0</v>
      </c>
      <c r="N58" s="115" t="str">
        <f>IF($C58&lt;&gt;"",SUMIFS('8. Uitgaven betaalverzoek'!$W:$W,'8. Uitgaven betaalverzoek'!$E:$E,$A58,'8. Uitgaven betaalverzoek'!$F:$F,$B58,'8. Uitgaven betaalverzoek'!$A:$A,Keuze_DB_Nr),"")</f>
        <v/>
      </c>
      <c r="O58" s="115" t="str">
        <f>IF($C58&lt;&gt;"",SUMIFS('8. Uitgaven betaalverzoek'!$X:$X,'8. Uitgaven betaalverzoek'!$E:$E,$A58,'8. Uitgaven betaalverzoek'!$F:$F,$B58,'8. Uitgaven betaalverzoek'!$A:$A,Keuze_DB_Nr),"")</f>
        <v/>
      </c>
      <c r="P58" s="115">
        <f t="shared" si="5"/>
        <v>0</v>
      </c>
      <c r="Q58" s="115">
        <f t="shared" si="6"/>
        <v>0</v>
      </c>
      <c r="R58" s="115">
        <f>SUMIFS('8. Uitgaven betaalverzoek'!$U:$U,'8. Uitgaven betaalverzoek'!$E:$E,$A58,'8. Uitgaven betaalverzoek'!$F:$F,$B58,'8. Uitgaven betaalverzoek'!$A:$A,Keuze_DB_Nr_BEO)</f>
        <v>0</v>
      </c>
      <c r="S58" s="115">
        <f>SUMIFS('8. Uitgaven betaalverzoek'!$V:$V,'8. Uitgaven betaalverzoek'!$E:$E,$A58,'8. Uitgaven betaalverzoek'!$F:$F,$B58,'8. Uitgaven betaalverzoek'!$A:$A,Keuze_DB_Nr_BEO)</f>
        <v>0</v>
      </c>
      <c r="T58" s="115" t="str">
        <f>IF($C58&lt;&gt;"",SUMIFS('8. Uitgaven betaalverzoek'!$W:$W,'8. Uitgaven betaalverzoek'!$E:$E,$A58,'8. Uitgaven betaalverzoek'!$F:$F,$B58,'8. Uitgaven betaalverzoek'!$A:$A,Keuze_DB_Nr_BEO),"")</f>
        <v/>
      </c>
      <c r="U58" s="115" t="str">
        <f>IF($C58&lt;&gt;"",SUMIFS('8. Uitgaven betaalverzoek'!$X:$X,'8. Uitgaven betaalverzoek'!$E:$E,$A58,'8. Uitgaven betaalverzoek'!$F:$F,$B58,'8. Uitgaven betaalverzoek'!$A:$A,Keuze_DB_Nr_BEO),"")</f>
        <v/>
      </c>
      <c r="V58" s="115">
        <f t="shared" si="2"/>
        <v>0</v>
      </c>
      <c r="W58" s="115">
        <f t="shared" si="3"/>
        <v>0</v>
      </c>
    </row>
    <row r="59" spans="1:23" x14ac:dyDescent="0.25">
      <c r="A59" s="18"/>
      <c r="B59" s="18"/>
      <c r="C59" s="106" t="str" cm="1">
        <f t="array" ref="C59">IFERROR(INDEX(Tb_KostenOpties[],MATCH(B59,Tb_KostenOptiesDB[KostenOptie],0),IFERROR(MATCH(Methode_Keuze,Tb_KostenOptiesDB[#Headers],0),2)),"")</f>
        <v/>
      </c>
      <c r="D59" s="118">
        <f>IFERROR(INDEX(Tb_ProjectKosten[],MATCH($B59,Tb_ProjectKosten[Begroting],0),6),0)</f>
        <v>0</v>
      </c>
      <c r="E59" s="116">
        <f>SUMIFS('8. Uitgaven betaalverzoek'!$U:$U,'8. Uitgaven betaalverzoek'!$E:$E,$A59,'8. Uitgaven betaalverzoek'!$F:$F,$B59)</f>
        <v>0</v>
      </c>
      <c r="F59" s="116">
        <f>SUMIFS('8. Uitgaven betaalverzoek'!$V:$V,'8. Uitgaven betaalverzoek'!$E:$E,$A59,'8. Uitgaven betaalverzoek'!$F:$F,$B59)</f>
        <v>0</v>
      </c>
      <c r="G59" s="116" t="str">
        <f>IF(C59&lt;&gt;"",SUMIFS('8. Uitgaven betaalverzoek'!$W:$W,'8. Uitgaven betaalverzoek'!$E:$E,$A59,'8. Uitgaven betaalverzoek'!$F:$F,$B59),"")</f>
        <v/>
      </c>
      <c r="H59" s="116" t="str">
        <f>IF(C59&lt;&gt;"",SUMIFS('8. Uitgaven betaalverzoek'!$X:$X,'8. Uitgaven betaalverzoek'!$E:$E,$A59,'8. Uitgaven betaalverzoek'!$F:$F,$B59),"")</f>
        <v/>
      </c>
      <c r="I59" s="118" t="str">
        <f>IFERROR(VLOOKUP(A59,Lijsten!$AD:$AE,2,0),"")</f>
        <v/>
      </c>
      <c r="J59" s="116">
        <f t="shared" si="4"/>
        <v>0</v>
      </c>
      <c r="K59" s="116">
        <f t="shared" si="1"/>
        <v>0</v>
      </c>
      <c r="L59" s="116">
        <f>SUMIFS('8. Uitgaven betaalverzoek'!$U:$U,'8. Uitgaven betaalverzoek'!$E:$E,$A59,'8. Uitgaven betaalverzoek'!$F:$F,$B59,'8. Uitgaven betaalverzoek'!$A:$A,Keuze_DB_Nr)</f>
        <v>0</v>
      </c>
      <c r="M59" s="116">
        <f>SUMIFS('8. Uitgaven betaalverzoek'!$V:$V,'8. Uitgaven betaalverzoek'!$E:$E,$A59,'8. Uitgaven betaalverzoek'!$F:$F,$B59,'8. Uitgaven betaalverzoek'!$A:$A,Keuze_DB_Nr)</f>
        <v>0</v>
      </c>
      <c r="N59" s="116" t="str">
        <f>IF($C59&lt;&gt;"",SUMIFS('8. Uitgaven betaalverzoek'!$W:$W,'8. Uitgaven betaalverzoek'!$E:$E,$A59,'8. Uitgaven betaalverzoek'!$F:$F,$B59,'8. Uitgaven betaalverzoek'!$A:$A,Keuze_DB_Nr),"")</f>
        <v/>
      </c>
      <c r="O59" s="116" t="str">
        <f>IF($C59&lt;&gt;"",SUMIFS('8. Uitgaven betaalverzoek'!$X:$X,'8. Uitgaven betaalverzoek'!$E:$E,$A59,'8. Uitgaven betaalverzoek'!$F:$F,$B59,'8. Uitgaven betaalverzoek'!$A:$A,Keuze_DB_Nr),"")</f>
        <v/>
      </c>
      <c r="P59" s="116">
        <f t="shared" si="5"/>
        <v>0</v>
      </c>
      <c r="Q59" s="116">
        <f t="shared" si="6"/>
        <v>0</v>
      </c>
      <c r="R59" s="116">
        <f>SUMIFS('8. Uitgaven betaalverzoek'!$U:$U,'8. Uitgaven betaalverzoek'!$E:$E,$A59,'8. Uitgaven betaalverzoek'!$F:$F,$B59,'8. Uitgaven betaalverzoek'!$A:$A,Keuze_DB_Nr_BEO)</f>
        <v>0</v>
      </c>
      <c r="S59" s="116">
        <f>SUMIFS('8. Uitgaven betaalverzoek'!$V:$V,'8. Uitgaven betaalverzoek'!$E:$E,$A59,'8. Uitgaven betaalverzoek'!$F:$F,$B59,'8. Uitgaven betaalverzoek'!$A:$A,Keuze_DB_Nr_BEO)</f>
        <v>0</v>
      </c>
      <c r="T59" s="116" t="str">
        <f>IF($C59&lt;&gt;"",SUMIFS('8. Uitgaven betaalverzoek'!$W:$W,'8. Uitgaven betaalverzoek'!$E:$E,$A59,'8. Uitgaven betaalverzoek'!$F:$F,$B59,'8. Uitgaven betaalverzoek'!$A:$A,Keuze_DB_Nr_BEO),"")</f>
        <v/>
      </c>
      <c r="U59" s="116" t="str">
        <f>IF($C59&lt;&gt;"",SUMIFS('8. Uitgaven betaalverzoek'!$X:$X,'8. Uitgaven betaalverzoek'!$E:$E,$A59,'8. Uitgaven betaalverzoek'!$F:$F,$B59,'8. Uitgaven betaalverzoek'!$A:$A,Keuze_DB_Nr_BEO),"")</f>
        <v/>
      </c>
      <c r="V59" s="116">
        <f t="shared" si="2"/>
        <v>0</v>
      </c>
      <c r="W59" s="116">
        <f t="shared" si="3"/>
        <v>0</v>
      </c>
    </row>
    <row r="60" spans="1:23" x14ac:dyDescent="0.25">
      <c r="A60" s="78"/>
      <c r="B60" s="78"/>
      <c r="C60" s="105" t="str" cm="1">
        <f t="array" ref="C60">IFERROR(INDEX(Tb_KostenOpties[],MATCH(B60,Tb_KostenOptiesDB[KostenOptie],0),IFERROR(MATCH(Methode_Keuze,Tb_KostenOptiesDB[#Headers],0),2)),"")</f>
        <v/>
      </c>
      <c r="D60" s="117">
        <f>IFERROR(INDEX(Tb_ProjectKosten[],MATCH($B60,Tb_ProjectKosten[Begroting],0),6),0)</f>
        <v>0</v>
      </c>
      <c r="E60" s="115">
        <f>SUMIFS('8. Uitgaven betaalverzoek'!$U:$U,'8. Uitgaven betaalverzoek'!$E:$E,$A60,'8. Uitgaven betaalverzoek'!$F:$F,$B60)</f>
        <v>0</v>
      </c>
      <c r="F60" s="115">
        <f>SUMIFS('8. Uitgaven betaalverzoek'!$V:$V,'8. Uitgaven betaalverzoek'!$E:$E,$A60,'8. Uitgaven betaalverzoek'!$F:$F,$B60)</f>
        <v>0</v>
      </c>
      <c r="G60" s="115" t="str">
        <f>IF(C60&lt;&gt;"",SUMIFS('8. Uitgaven betaalverzoek'!$W:$W,'8. Uitgaven betaalverzoek'!$E:$E,$A60,'8. Uitgaven betaalverzoek'!$F:$F,$B60),"")</f>
        <v/>
      </c>
      <c r="H60" s="115" t="str">
        <f>IF(C60&lt;&gt;"",SUMIFS('8. Uitgaven betaalverzoek'!$X:$X,'8. Uitgaven betaalverzoek'!$E:$E,$A60,'8. Uitgaven betaalverzoek'!$F:$F,$B60),"")</f>
        <v/>
      </c>
      <c r="I60" s="117" t="str">
        <f>IFERROR(VLOOKUP(A60,Lijsten!$AD:$AE,2,0),"")</f>
        <v/>
      </c>
      <c r="J60" s="115">
        <f t="shared" si="4"/>
        <v>0</v>
      </c>
      <c r="K60" s="115">
        <f t="shared" si="1"/>
        <v>0</v>
      </c>
      <c r="L60" s="115">
        <f>SUMIFS('8. Uitgaven betaalverzoek'!$U:$U,'8. Uitgaven betaalverzoek'!$E:$E,$A60,'8. Uitgaven betaalverzoek'!$F:$F,$B60,'8. Uitgaven betaalverzoek'!$A:$A,Keuze_DB_Nr)</f>
        <v>0</v>
      </c>
      <c r="M60" s="115">
        <f>SUMIFS('8. Uitgaven betaalverzoek'!$V:$V,'8. Uitgaven betaalverzoek'!$E:$E,$A60,'8. Uitgaven betaalverzoek'!$F:$F,$B60,'8. Uitgaven betaalverzoek'!$A:$A,Keuze_DB_Nr)</f>
        <v>0</v>
      </c>
      <c r="N60" s="115" t="str">
        <f>IF($C60&lt;&gt;"",SUMIFS('8. Uitgaven betaalverzoek'!$W:$W,'8. Uitgaven betaalverzoek'!$E:$E,$A60,'8. Uitgaven betaalverzoek'!$F:$F,$B60,'8. Uitgaven betaalverzoek'!$A:$A,Keuze_DB_Nr),"")</f>
        <v/>
      </c>
      <c r="O60" s="115" t="str">
        <f>IF($C60&lt;&gt;"",SUMIFS('8. Uitgaven betaalverzoek'!$X:$X,'8. Uitgaven betaalverzoek'!$E:$E,$A60,'8. Uitgaven betaalverzoek'!$F:$F,$B60,'8. Uitgaven betaalverzoek'!$A:$A,Keuze_DB_Nr),"")</f>
        <v/>
      </c>
      <c r="P60" s="115">
        <f t="shared" si="5"/>
        <v>0</v>
      </c>
      <c r="Q60" s="115">
        <f t="shared" si="6"/>
        <v>0</v>
      </c>
      <c r="R60" s="115">
        <f>SUMIFS('8. Uitgaven betaalverzoek'!$U:$U,'8. Uitgaven betaalverzoek'!$E:$E,$A60,'8. Uitgaven betaalverzoek'!$F:$F,$B60,'8. Uitgaven betaalverzoek'!$A:$A,Keuze_DB_Nr_BEO)</f>
        <v>0</v>
      </c>
      <c r="S60" s="115">
        <f>SUMIFS('8. Uitgaven betaalverzoek'!$V:$V,'8. Uitgaven betaalverzoek'!$E:$E,$A60,'8. Uitgaven betaalverzoek'!$F:$F,$B60,'8. Uitgaven betaalverzoek'!$A:$A,Keuze_DB_Nr_BEO)</f>
        <v>0</v>
      </c>
      <c r="T60" s="115" t="str">
        <f>IF($C60&lt;&gt;"",SUMIFS('8. Uitgaven betaalverzoek'!$W:$W,'8. Uitgaven betaalverzoek'!$E:$E,$A60,'8. Uitgaven betaalverzoek'!$F:$F,$B60,'8. Uitgaven betaalverzoek'!$A:$A,Keuze_DB_Nr_BEO),"")</f>
        <v/>
      </c>
      <c r="U60" s="115" t="str">
        <f>IF($C60&lt;&gt;"",SUMIFS('8. Uitgaven betaalverzoek'!$X:$X,'8. Uitgaven betaalverzoek'!$E:$E,$A60,'8. Uitgaven betaalverzoek'!$F:$F,$B60,'8. Uitgaven betaalverzoek'!$A:$A,Keuze_DB_Nr_BEO),"")</f>
        <v/>
      </c>
      <c r="V60" s="115">
        <f t="shared" si="2"/>
        <v>0</v>
      </c>
      <c r="W60" s="115">
        <f t="shared" si="3"/>
        <v>0</v>
      </c>
    </row>
    <row r="61" spans="1:23" x14ac:dyDescent="0.25">
      <c r="A61" s="18"/>
      <c r="B61" s="18"/>
      <c r="C61" s="106" t="str" cm="1">
        <f t="array" ref="C61">IFERROR(INDEX(Tb_KostenOpties[],MATCH(B61,Tb_KostenOptiesDB[KostenOptie],0),IFERROR(MATCH(Methode_Keuze,Tb_KostenOptiesDB[#Headers],0),2)),"")</f>
        <v/>
      </c>
      <c r="D61" s="118">
        <f>IFERROR(INDEX(Tb_ProjectKosten[],MATCH($B61,Tb_ProjectKosten[Begroting],0),6),0)</f>
        <v>0</v>
      </c>
      <c r="E61" s="116">
        <f>SUMIFS('8. Uitgaven betaalverzoek'!$U:$U,'8. Uitgaven betaalverzoek'!$E:$E,$A61,'8. Uitgaven betaalverzoek'!$F:$F,$B61)</f>
        <v>0</v>
      </c>
      <c r="F61" s="116">
        <f>SUMIFS('8. Uitgaven betaalverzoek'!$V:$V,'8. Uitgaven betaalverzoek'!$E:$E,$A61,'8. Uitgaven betaalverzoek'!$F:$F,$B61)</f>
        <v>0</v>
      </c>
      <c r="G61" s="116" t="str">
        <f>IF(C61&lt;&gt;"",SUMIFS('8. Uitgaven betaalverzoek'!$W:$W,'8. Uitgaven betaalverzoek'!$E:$E,$A61,'8. Uitgaven betaalverzoek'!$F:$F,$B61),"")</f>
        <v/>
      </c>
      <c r="H61" s="116" t="str">
        <f>IF(C61&lt;&gt;"",SUMIFS('8. Uitgaven betaalverzoek'!$X:$X,'8. Uitgaven betaalverzoek'!$E:$E,$A61,'8. Uitgaven betaalverzoek'!$F:$F,$B61),"")</f>
        <v/>
      </c>
      <c r="I61" s="118" t="str">
        <f>IFERROR(VLOOKUP(A61,Lijsten!$AD:$AE,2,0),"")</f>
        <v/>
      </c>
      <c r="J61" s="116">
        <f t="shared" si="4"/>
        <v>0</v>
      </c>
      <c r="K61" s="116">
        <f t="shared" si="1"/>
        <v>0</v>
      </c>
      <c r="L61" s="116">
        <f>SUMIFS('8. Uitgaven betaalverzoek'!$U:$U,'8. Uitgaven betaalverzoek'!$E:$E,$A61,'8. Uitgaven betaalverzoek'!$F:$F,$B61,'8. Uitgaven betaalverzoek'!$A:$A,Keuze_DB_Nr)</f>
        <v>0</v>
      </c>
      <c r="M61" s="116">
        <f>SUMIFS('8. Uitgaven betaalverzoek'!$V:$V,'8. Uitgaven betaalverzoek'!$E:$E,$A61,'8. Uitgaven betaalverzoek'!$F:$F,$B61,'8. Uitgaven betaalverzoek'!$A:$A,Keuze_DB_Nr)</f>
        <v>0</v>
      </c>
      <c r="N61" s="116" t="str">
        <f>IF($C61&lt;&gt;"",SUMIFS('8. Uitgaven betaalverzoek'!$W:$W,'8. Uitgaven betaalverzoek'!$E:$E,$A61,'8. Uitgaven betaalverzoek'!$F:$F,$B61,'8. Uitgaven betaalverzoek'!$A:$A,Keuze_DB_Nr),"")</f>
        <v/>
      </c>
      <c r="O61" s="116" t="str">
        <f>IF($C61&lt;&gt;"",SUMIFS('8. Uitgaven betaalverzoek'!$X:$X,'8. Uitgaven betaalverzoek'!$E:$E,$A61,'8. Uitgaven betaalverzoek'!$F:$F,$B61,'8. Uitgaven betaalverzoek'!$A:$A,Keuze_DB_Nr),"")</f>
        <v/>
      </c>
      <c r="P61" s="116">
        <f t="shared" si="5"/>
        <v>0</v>
      </c>
      <c r="Q61" s="116">
        <f t="shared" si="6"/>
        <v>0</v>
      </c>
      <c r="R61" s="116">
        <f>SUMIFS('8. Uitgaven betaalverzoek'!$U:$U,'8. Uitgaven betaalverzoek'!$E:$E,$A61,'8. Uitgaven betaalverzoek'!$F:$F,$B61,'8. Uitgaven betaalverzoek'!$A:$A,Keuze_DB_Nr_BEO)</f>
        <v>0</v>
      </c>
      <c r="S61" s="116">
        <f>SUMIFS('8. Uitgaven betaalverzoek'!$V:$V,'8. Uitgaven betaalverzoek'!$E:$E,$A61,'8. Uitgaven betaalverzoek'!$F:$F,$B61,'8. Uitgaven betaalverzoek'!$A:$A,Keuze_DB_Nr_BEO)</f>
        <v>0</v>
      </c>
      <c r="T61" s="116" t="str">
        <f>IF($C61&lt;&gt;"",SUMIFS('8. Uitgaven betaalverzoek'!$W:$W,'8. Uitgaven betaalverzoek'!$E:$E,$A61,'8. Uitgaven betaalverzoek'!$F:$F,$B61,'8. Uitgaven betaalverzoek'!$A:$A,Keuze_DB_Nr_BEO),"")</f>
        <v/>
      </c>
      <c r="U61" s="116" t="str">
        <f>IF($C61&lt;&gt;"",SUMIFS('8. Uitgaven betaalverzoek'!$X:$X,'8. Uitgaven betaalverzoek'!$E:$E,$A61,'8. Uitgaven betaalverzoek'!$F:$F,$B61,'8. Uitgaven betaalverzoek'!$A:$A,Keuze_DB_Nr_BEO),"")</f>
        <v/>
      </c>
      <c r="V61" s="116">
        <f t="shared" si="2"/>
        <v>0</v>
      </c>
      <c r="W61" s="116">
        <f t="shared" si="3"/>
        <v>0</v>
      </c>
    </row>
    <row r="62" spans="1:23" x14ac:dyDescent="0.25">
      <c r="A62" s="78"/>
      <c r="B62" s="78"/>
      <c r="C62" s="105" t="str" cm="1">
        <f t="array" ref="C62">IFERROR(INDEX(Tb_KostenOpties[],MATCH(B62,Tb_KostenOptiesDB[KostenOptie],0),IFERROR(MATCH(Methode_Keuze,Tb_KostenOptiesDB[#Headers],0),2)),"")</f>
        <v/>
      </c>
      <c r="D62" s="117">
        <f>IFERROR(INDEX(Tb_ProjectKosten[],MATCH($B62,Tb_ProjectKosten[Begroting],0),6),0)</f>
        <v>0</v>
      </c>
      <c r="E62" s="115">
        <f>SUMIFS('8. Uitgaven betaalverzoek'!$U:$U,'8. Uitgaven betaalverzoek'!$E:$E,$A62,'8. Uitgaven betaalverzoek'!$F:$F,$B62)</f>
        <v>0</v>
      </c>
      <c r="F62" s="115">
        <f>SUMIFS('8. Uitgaven betaalverzoek'!$V:$V,'8. Uitgaven betaalverzoek'!$E:$E,$A62,'8. Uitgaven betaalverzoek'!$F:$F,$B62)</f>
        <v>0</v>
      </c>
      <c r="G62" s="115" t="str">
        <f>IF(C62&lt;&gt;"",SUMIFS('8. Uitgaven betaalverzoek'!$W:$W,'8. Uitgaven betaalverzoek'!$E:$E,$A62,'8. Uitgaven betaalverzoek'!$F:$F,$B62),"")</f>
        <v/>
      </c>
      <c r="H62" s="115" t="str">
        <f>IF(C62&lt;&gt;"",SUMIFS('8. Uitgaven betaalverzoek'!$X:$X,'8. Uitgaven betaalverzoek'!$E:$E,$A62,'8. Uitgaven betaalverzoek'!$F:$F,$B62),"")</f>
        <v/>
      </c>
      <c r="I62" s="117" t="str">
        <f>IFERROR(VLOOKUP(A62,Lijsten!$AD:$AE,2,0),"")</f>
        <v/>
      </c>
      <c r="J62" s="115">
        <f t="shared" si="4"/>
        <v>0</v>
      </c>
      <c r="K62" s="115">
        <f t="shared" si="1"/>
        <v>0</v>
      </c>
      <c r="L62" s="115">
        <f>SUMIFS('8. Uitgaven betaalverzoek'!$U:$U,'8. Uitgaven betaalverzoek'!$E:$E,$A62,'8. Uitgaven betaalverzoek'!$F:$F,$B62,'8. Uitgaven betaalverzoek'!$A:$A,Keuze_DB_Nr)</f>
        <v>0</v>
      </c>
      <c r="M62" s="115">
        <f>SUMIFS('8. Uitgaven betaalverzoek'!$V:$V,'8. Uitgaven betaalverzoek'!$E:$E,$A62,'8. Uitgaven betaalverzoek'!$F:$F,$B62,'8. Uitgaven betaalverzoek'!$A:$A,Keuze_DB_Nr)</f>
        <v>0</v>
      </c>
      <c r="N62" s="115" t="str">
        <f>IF($C62&lt;&gt;"",SUMIFS('8. Uitgaven betaalverzoek'!$W:$W,'8. Uitgaven betaalverzoek'!$E:$E,$A62,'8. Uitgaven betaalverzoek'!$F:$F,$B62,'8. Uitgaven betaalverzoek'!$A:$A,Keuze_DB_Nr),"")</f>
        <v/>
      </c>
      <c r="O62" s="115" t="str">
        <f>IF($C62&lt;&gt;"",SUMIFS('8. Uitgaven betaalverzoek'!$X:$X,'8. Uitgaven betaalverzoek'!$E:$E,$A62,'8. Uitgaven betaalverzoek'!$F:$F,$B62,'8. Uitgaven betaalverzoek'!$A:$A,Keuze_DB_Nr),"")</f>
        <v/>
      </c>
      <c r="P62" s="115">
        <f t="shared" si="5"/>
        <v>0</v>
      </c>
      <c r="Q62" s="115">
        <f t="shared" si="6"/>
        <v>0</v>
      </c>
      <c r="R62" s="115">
        <f>SUMIFS('8. Uitgaven betaalverzoek'!$U:$U,'8. Uitgaven betaalverzoek'!$E:$E,$A62,'8. Uitgaven betaalverzoek'!$F:$F,$B62,'8. Uitgaven betaalverzoek'!$A:$A,Keuze_DB_Nr_BEO)</f>
        <v>0</v>
      </c>
      <c r="S62" s="115">
        <f>SUMIFS('8. Uitgaven betaalverzoek'!$V:$V,'8. Uitgaven betaalverzoek'!$E:$E,$A62,'8. Uitgaven betaalverzoek'!$F:$F,$B62,'8. Uitgaven betaalverzoek'!$A:$A,Keuze_DB_Nr_BEO)</f>
        <v>0</v>
      </c>
      <c r="T62" s="115" t="str">
        <f>IF($C62&lt;&gt;"",SUMIFS('8. Uitgaven betaalverzoek'!$W:$W,'8. Uitgaven betaalverzoek'!$E:$E,$A62,'8. Uitgaven betaalverzoek'!$F:$F,$B62,'8. Uitgaven betaalverzoek'!$A:$A,Keuze_DB_Nr_BEO),"")</f>
        <v/>
      </c>
      <c r="U62" s="115" t="str">
        <f>IF($C62&lt;&gt;"",SUMIFS('8. Uitgaven betaalverzoek'!$X:$X,'8. Uitgaven betaalverzoek'!$E:$E,$A62,'8. Uitgaven betaalverzoek'!$F:$F,$B62,'8. Uitgaven betaalverzoek'!$A:$A,Keuze_DB_Nr_BEO),"")</f>
        <v/>
      </c>
      <c r="V62" s="115">
        <f t="shared" si="2"/>
        <v>0</v>
      </c>
      <c r="W62" s="115">
        <f t="shared" si="3"/>
        <v>0</v>
      </c>
    </row>
    <row r="63" spans="1:23" x14ac:dyDescent="0.25">
      <c r="A63" s="18"/>
      <c r="B63" s="18"/>
      <c r="C63" s="106" t="str" cm="1">
        <f t="array" ref="C63">IFERROR(INDEX(Tb_KostenOpties[],MATCH(B63,Tb_KostenOptiesDB[KostenOptie],0),IFERROR(MATCH(Methode_Keuze,Tb_KostenOptiesDB[#Headers],0),2)),"")</f>
        <v/>
      </c>
      <c r="D63" s="118">
        <f>IFERROR(INDEX(Tb_ProjectKosten[],MATCH($B63,Tb_ProjectKosten[Begroting],0),6),0)</f>
        <v>0</v>
      </c>
      <c r="E63" s="116">
        <f>SUMIFS('8. Uitgaven betaalverzoek'!$U:$U,'8. Uitgaven betaalverzoek'!$E:$E,$A63,'8. Uitgaven betaalverzoek'!$F:$F,$B63)</f>
        <v>0</v>
      </c>
      <c r="F63" s="116">
        <f>SUMIFS('8. Uitgaven betaalverzoek'!$V:$V,'8. Uitgaven betaalverzoek'!$E:$E,$A63,'8. Uitgaven betaalverzoek'!$F:$F,$B63)</f>
        <v>0</v>
      </c>
      <c r="G63" s="116" t="str">
        <f>IF(C63&lt;&gt;"",SUMIFS('8. Uitgaven betaalverzoek'!$W:$W,'8. Uitgaven betaalverzoek'!$E:$E,$A63,'8. Uitgaven betaalverzoek'!$F:$F,$B63),"")</f>
        <v/>
      </c>
      <c r="H63" s="116" t="str">
        <f>IF(C63&lt;&gt;"",SUMIFS('8. Uitgaven betaalverzoek'!$X:$X,'8. Uitgaven betaalverzoek'!$E:$E,$A63,'8. Uitgaven betaalverzoek'!$F:$F,$B63),"")</f>
        <v/>
      </c>
      <c r="I63" s="118" t="str">
        <f>IFERROR(VLOOKUP(A63,Lijsten!$AD:$AE,2,0),"")</f>
        <v/>
      </c>
      <c r="J63" s="116">
        <f t="shared" si="4"/>
        <v>0</v>
      </c>
      <c r="K63" s="116">
        <f t="shared" si="1"/>
        <v>0</v>
      </c>
      <c r="L63" s="116">
        <f>SUMIFS('8. Uitgaven betaalverzoek'!$U:$U,'8. Uitgaven betaalverzoek'!$E:$E,$A63,'8. Uitgaven betaalverzoek'!$F:$F,$B63,'8. Uitgaven betaalverzoek'!$A:$A,Keuze_DB_Nr)</f>
        <v>0</v>
      </c>
      <c r="M63" s="116">
        <f>SUMIFS('8. Uitgaven betaalverzoek'!$V:$V,'8. Uitgaven betaalverzoek'!$E:$E,$A63,'8. Uitgaven betaalverzoek'!$F:$F,$B63,'8. Uitgaven betaalverzoek'!$A:$A,Keuze_DB_Nr)</f>
        <v>0</v>
      </c>
      <c r="N63" s="116" t="str">
        <f>IF($C63&lt;&gt;"",SUMIFS('8. Uitgaven betaalverzoek'!$W:$W,'8. Uitgaven betaalverzoek'!$E:$E,$A63,'8. Uitgaven betaalverzoek'!$F:$F,$B63,'8. Uitgaven betaalverzoek'!$A:$A,Keuze_DB_Nr),"")</f>
        <v/>
      </c>
      <c r="O63" s="116" t="str">
        <f>IF($C63&lt;&gt;"",SUMIFS('8. Uitgaven betaalverzoek'!$X:$X,'8. Uitgaven betaalverzoek'!$E:$E,$A63,'8. Uitgaven betaalverzoek'!$F:$F,$B63,'8. Uitgaven betaalverzoek'!$A:$A,Keuze_DB_Nr),"")</f>
        <v/>
      </c>
      <c r="P63" s="116">
        <f t="shared" si="5"/>
        <v>0</v>
      </c>
      <c r="Q63" s="116">
        <f t="shared" si="6"/>
        <v>0</v>
      </c>
      <c r="R63" s="116">
        <f>SUMIFS('8. Uitgaven betaalverzoek'!$U:$U,'8. Uitgaven betaalverzoek'!$E:$E,$A63,'8. Uitgaven betaalverzoek'!$F:$F,$B63,'8. Uitgaven betaalverzoek'!$A:$A,Keuze_DB_Nr_BEO)</f>
        <v>0</v>
      </c>
      <c r="S63" s="116">
        <f>SUMIFS('8. Uitgaven betaalverzoek'!$V:$V,'8. Uitgaven betaalverzoek'!$E:$E,$A63,'8. Uitgaven betaalverzoek'!$F:$F,$B63,'8. Uitgaven betaalverzoek'!$A:$A,Keuze_DB_Nr_BEO)</f>
        <v>0</v>
      </c>
      <c r="T63" s="116" t="str">
        <f>IF($C63&lt;&gt;"",SUMIFS('8. Uitgaven betaalverzoek'!$W:$W,'8. Uitgaven betaalverzoek'!$E:$E,$A63,'8. Uitgaven betaalverzoek'!$F:$F,$B63,'8. Uitgaven betaalverzoek'!$A:$A,Keuze_DB_Nr_BEO),"")</f>
        <v/>
      </c>
      <c r="U63" s="116" t="str">
        <f>IF($C63&lt;&gt;"",SUMIFS('8. Uitgaven betaalverzoek'!$X:$X,'8. Uitgaven betaalverzoek'!$E:$E,$A63,'8. Uitgaven betaalverzoek'!$F:$F,$B63,'8. Uitgaven betaalverzoek'!$A:$A,Keuze_DB_Nr_BEO),"")</f>
        <v/>
      </c>
      <c r="V63" s="116">
        <f t="shared" si="2"/>
        <v>0</v>
      </c>
      <c r="W63" s="116">
        <f t="shared" si="3"/>
        <v>0</v>
      </c>
    </row>
    <row r="64" spans="1:23" x14ac:dyDescent="0.25">
      <c r="A64" s="78"/>
      <c r="B64" s="78"/>
      <c r="C64" s="105" t="str" cm="1">
        <f t="array" ref="C64">IFERROR(INDEX(Tb_KostenOpties[],MATCH(B64,Tb_KostenOptiesDB[KostenOptie],0),IFERROR(MATCH(Methode_Keuze,Tb_KostenOptiesDB[#Headers],0),2)),"")</f>
        <v/>
      </c>
      <c r="D64" s="117">
        <f>IFERROR(INDEX(Tb_ProjectKosten[],MATCH($B64,Tb_ProjectKosten[Begroting],0),6),0)</f>
        <v>0</v>
      </c>
      <c r="E64" s="115">
        <f>SUMIFS('8. Uitgaven betaalverzoek'!$U:$U,'8. Uitgaven betaalverzoek'!$E:$E,$A64,'8. Uitgaven betaalverzoek'!$F:$F,$B64)</f>
        <v>0</v>
      </c>
      <c r="F64" s="115">
        <f>SUMIFS('8. Uitgaven betaalverzoek'!$V:$V,'8. Uitgaven betaalverzoek'!$E:$E,$A64,'8. Uitgaven betaalverzoek'!$F:$F,$B64)</f>
        <v>0</v>
      </c>
      <c r="G64" s="115" t="str">
        <f>IF(C64&lt;&gt;"",SUMIFS('8. Uitgaven betaalverzoek'!$W:$W,'8. Uitgaven betaalverzoek'!$E:$E,$A64,'8. Uitgaven betaalverzoek'!$F:$F,$B64),"")</f>
        <v/>
      </c>
      <c r="H64" s="115" t="str">
        <f>IF(C64&lt;&gt;"",SUMIFS('8. Uitgaven betaalverzoek'!$X:$X,'8. Uitgaven betaalverzoek'!$E:$E,$A64,'8. Uitgaven betaalverzoek'!$F:$F,$B64),"")</f>
        <v/>
      </c>
      <c r="I64" s="117" t="str">
        <f>IFERROR(VLOOKUP(A64,Lijsten!$AD:$AE,2,0),"")</f>
        <v/>
      </c>
      <c r="J64" s="115">
        <f t="shared" si="4"/>
        <v>0</v>
      </c>
      <c r="K64" s="115">
        <f t="shared" si="1"/>
        <v>0</v>
      </c>
      <c r="L64" s="115">
        <f>SUMIFS('8. Uitgaven betaalverzoek'!$U:$U,'8. Uitgaven betaalverzoek'!$E:$E,$A64,'8. Uitgaven betaalverzoek'!$F:$F,$B64,'8. Uitgaven betaalverzoek'!$A:$A,Keuze_DB_Nr)</f>
        <v>0</v>
      </c>
      <c r="M64" s="115">
        <f>SUMIFS('8. Uitgaven betaalverzoek'!$V:$V,'8. Uitgaven betaalverzoek'!$E:$E,$A64,'8. Uitgaven betaalverzoek'!$F:$F,$B64,'8. Uitgaven betaalverzoek'!$A:$A,Keuze_DB_Nr)</f>
        <v>0</v>
      </c>
      <c r="N64" s="115" t="str">
        <f>IF($C64&lt;&gt;"",SUMIFS('8. Uitgaven betaalverzoek'!$W:$W,'8. Uitgaven betaalverzoek'!$E:$E,$A64,'8. Uitgaven betaalverzoek'!$F:$F,$B64,'8. Uitgaven betaalverzoek'!$A:$A,Keuze_DB_Nr),"")</f>
        <v/>
      </c>
      <c r="O64" s="115" t="str">
        <f>IF($C64&lt;&gt;"",SUMIFS('8. Uitgaven betaalverzoek'!$X:$X,'8. Uitgaven betaalverzoek'!$E:$E,$A64,'8. Uitgaven betaalverzoek'!$F:$F,$B64,'8. Uitgaven betaalverzoek'!$A:$A,Keuze_DB_Nr),"")</f>
        <v/>
      </c>
      <c r="P64" s="115">
        <f t="shared" si="5"/>
        <v>0</v>
      </c>
      <c r="Q64" s="115">
        <f t="shared" si="6"/>
        <v>0</v>
      </c>
      <c r="R64" s="115">
        <f>SUMIFS('8. Uitgaven betaalverzoek'!$U:$U,'8. Uitgaven betaalverzoek'!$E:$E,$A64,'8. Uitgaven betaalverzoek'!$F:$F,$B64,'8. Uitgaven betaalverzoek'!$A:$A,Keuze_DB_Nr_BEO)</f>
        <v>0</v>
      </c>
      <c r="S64" s="115">
        <f>SUMIFS('8. Uitgaven betaalverzoek'!$V:$V,'8. Uitgaven betaalverzoek'!$E:$E,$A64,'8. Uitgaven betaalverzoek'!$F:$F,$B64,'8. Uitgaven betaalverzoek'!$A:$A,Keuze_DB_Nr_BEO)</f>
        <v>0</v>
      </c>
      <c r="T64" s="115" t="str">
        <f>IF($C64&lt;&gt;"",SUMIFS('8. Uitgaven betaalverzoek'!$W:$W,'8. Uitgaven betaalverzoek'!$E:$E,$A64,'8. Uitgaven betaalverzoek'!$F:$F,$B64,'8. Uitgaven betaalverzoek'!$A:$A,Keuze_DB_Nr_BEO),"")</f>
        <v/>
      </c>
      <c r="U64" s="115" t="str">
        <f>IF($C64&lt;&gt;"",SUMIFS('8. Uitgaven betaalverzoek'!$X:$X,'8. Uitgaven betaalverzoek'!$E:$E,$A64,'8. Uitgaven betaalverzoek'!$F:$F,$B64,'8. Uitgaven betaalverzoek'!$A:$A,Keuze_DB_Nr_BEO),"")</f>
        <v/>
      </c>
      <c r="V64" s="115">
        <f t="shared" si="2"/>
        <v>0</v>
      </c>
      <c r="W64" s="115">
        <f t="shared" si="3"/>
        <v>0</v>
      </c>
    </row>
    <row r="65" spans="1:23" x14ac:dyDescent="0.25">
      <c r="A65" s="18"/>
      <c r="B65" s="18"/>
      <c r="C65" s="106" t="str" cm="1">
        <f t="array" ref="C65">IFERROR(INDEX(Tb_KostenOpties[],MATCH(B65,Tb_KostenOptiesDB[KostenOptie],0),IFERROR(MATCH(Methode_Keuze,Tb_KostenOptiesDB[#Headers],0),2)),"")</f>
        <v/>
      </c>
      <c r="D65" s="118">
        <f>IFERROR(INDEX(Tb_ProjectKosten[],MATCH($B65,Tb_ProjectKosten[Begroting],0),6),0)</f>
        <v>0</v>
      </c>
      <c r="E65" s="116">
        <f>SUMIFS('8. Uitgaven betaalverzoek'!$U:$U,'8. Uitgaven betaalverzoek'!$E:$E,$A65,'8. Uitgaven betaalverzoek'!$F:$F,$B65)</f>
        <v>0</v>
      </c>
      <c r="F65" s="116">
        <f>SUMIFS('8. Uitgaven betaalverzoek'!$V:$V,'8. Uitgaven betaalverzoek'!$E:$E,$A65,'8. Uitgaven betaalverzoek'!$F:$F,$B65)</f>
        <v>0</v>
      </c>
      <c r="G65" s="116" t="str">
        <f>IF(C65&lt;&gt;"",SUMIFS('8. Uitgaven betaalverzoek'!$W:$W,'8. Uitgaven betaalverzoek'!$E:$E,$A65,'8. Uitgaven betaalverzoek'!$F:$F,$B65),"")</f>
        <v/>
      </c>
      <c r="H65" s="116" t="str">
        <f>IF(C65&lt;&gt;"",SUMIFS('8. Uitgaven betaalverzoek'!$X:$X,'8. Uitgaven betaalverzoek'!$E:$E,$A65,'8. Uitgaven betaalverzoek'!$F:$F,$B65),"")</f>
        <v/>
      </c>
      <c r="I65" s="118" t="str">
        <f>IFERROR(VLOOKUP(A65,Lijsten!$AD:$AE,2,0),"")</f>
        <v/>
      </c>
      <c r="J65" s="116">
        <f t="shared" si="4"/>
        <v>0</v>
      </c>
      <c r="K65" s="116">
        <f t="shared" si="1"/>
        <v>0</v>
      </c>
      <c r="L65" s="116">
        <f>SUMIFS('8. Uitgaven betaalverzoek'!$U:$U,'8. Uitgaven betaalverzoek'!$E:$E,$A65,'8. Uitgaven betaalverzoek'!$F:$F,$B65,'8. Uitgaven betaalverzoek'!$A:$A,Keuze_DB_Nr)</f>
        <v>0</v>
      </c>
      <c r="M65" s="116">
        <f>SUMIFS('8. Uitgaven betaalverzoek'!$V:$V,'8. Uitgaven betaalverzoek'!$E:$E,$A65,'8. Uitgaven betaalverzoek'!$F:$F,$B65,'8. Uitgaven betaalverzoek'!$A:$A,Keuze_DB_Nr)</f>
        <v>0</v>
      </c>
      <c r="N65" s="116" t="str">
        <f>IF($C65&lt;&gt;"",SUMIFS('8. Uitgaven betaalverzoek'!$W:$W,'8. Uitgaven betaalverzoek'!$E:$E,$A65,'8. Uitgaven betaalverzoek'!$F:$F,$B65,'8. Uitgaven betaalverzoek'!$A:$A,Keuze_DB_Nr),"")</f>
        <v/>
      </c>
      <c r="O65" s="116" t="str">
        <f>IF($C65&lt;&gt;"",SUMIFS('8. Uitgaven betaalverzoek'!$X:$X,'8. Uitgaven betaalverzoek'!$E:$E,$A65,'8. Uitgaven betaalverzoek'!$F:$F,$B65,'8. Uitgaven betaalverzoek'!$A:$A,Keuze_DB_Nr),"")</f>
        <v/>
      </c>
      <c r="P65" s="116">
        <f t="shared" si="5"/>
        <v>0</v>
      </c>
      <c r="Q65" s="116">
        <f t="shared" si="6"/>
        <v>0</v>
      </c>
      <c r="R65" s="116">
        <f>SUMIFS('8. Uitgaven betaalverzoek'!$U:$U,'8. Uitgaven betaalverzoek'!$E:$E,$A65,'8. Uitgaven betaalverzoek'!$F:$F,$B65,'8. Uitgaven betaalverzoek'!$A:$A,Keuze_DB_Nr_BEO)</f>
        <v>0</v>
      </c>
      <c r="S65" s="116">
        <f>SUMIFS('8. Uitgaven betaalverzoek'!$V:$V,'8. Uitgaven betaalverzoek'!$E:$E,$A65,'8. Uitgaven betaalverzoek'!$F:$F,$B65,'8. Uitgaven betaalverzoek'!$A:$A,Keuze_DB_Nr_BEO)</f>
        <v>0</v>
      </c>
      <c r="T65" s="116" t="str">
        <f>IF($C65&lt;&gt;"",SUMIFS('8. Uitgaven betaalverzoek'!$W:$W,'8. Uitgaven betaalverzoek'!$E:$E,$A65,'8. Uitgaven betaalverzoek'!$F:$F,$B65,'8. Uitgaven betaalverzoek'!$A:$A,Keuze_DB_Nr_BEO),"")</f>
        <v/>
      </c>
      <c r="U65" s="116" t="str">
        <f>IF($C65&lt;&gt;"",SUMIFS('8. Uitgaven betaalverzoek'!$X:$X,'8. Uitgaven betaalverzoek'!$E:$E,$A65,'8. Uitgaven betaalverzoek'!$F:$F,$B65,'8. Uitgaven betaalverzoek'!$A:$A,Keuze_DB_Nr_BEO),"")</f>
        <v/>
      </c>
      <c r="V65" s="116">
        <f t="shared" si="2"/>
        <v>0</v>
      </c>
      <c r="W65" s="116">
        <f t="shared" si="3"/>
        <v>0</v>
      </c>
    </row>
    <row r="66" spans="1:23" x14ac:dyDescent="0.25">
      <c r="A66" s="78"/>
      <c r="B66" s="78"/>
      <c r="C66" s="105" t="str" cm="1">
        <f t="array" ref="C66">IFERROR(INDEX(Tb_KostenOpties[],MATCH(B66,Tb_KostenOptiesDB[KostenOptie],0),IFERROR(MATCH(Methode_Keuze,Tb_KostenOptiesDB[#Headers],0),2)),"")</f>
        <v/>
      </c>
      <c r="D66" s="117">
        <f>IFERROR(INDEX(Tb_ProjectKosten[],MATCH($B66,Tb_ProjectKosten[Begroting],0),6),0)</f>
        <v>0</v>
      </c>
      <c r="E66" s="115">
        <f>SUMIFS('8. Uitgaven betaalverzoek'!$U:$U,'8. Uitgaven betaalverzoek'!$E:$E,$A66,'8. Uitgaven betaalverzoek'!$F:$F,$B66)</f>
        <v>0</v>
      </c>
      <c r="F66" s="115">
        <f>SUMIFS('8. Uitgaven betaalverzoek'!$V:$V,'8. Uitgaven betaalverzoek'!$E:$E,$A66,'8. Uitgaven betaalverzoek'!$F:$F,$B66)</f>
        <v>0</v>
      </c>
      <c r="G66" s="115" t="str">
        <f>IF(C66&lt;&gt;"",SUMIFS('8. Uitgaven betaalverzoek'!$W:$W,'8. Uitgaven betaalverzoek'!$E:$E,$A66,'8. Uitgaven betaalverzoek'!$F:$F,$B66),"")</f>
        <v/>
      </c>
      <c r="H66" s="115" t="str">
        <f>IF(C66&lt;&gt;"",SUMIFS('8. Uitgaven betaalverzoek'!$X:$X,'8. Uitgaven betaalverzoek'!$E:$E,$A66,'8. Uitgaven betaalverzoek'!$F:$F,$B66),"")</f>
        <v/>
      </c>
      <c r="I66" s="117" t="str">
        <f>IFERROR(VLOOKUP(A66,Lijsten!$AD:$AE,2,0),"")</f>
        <v/>
      </c>
      <c r="J66" s="115">
        <f t="shared" si="4"/>
        <v>0</v>
      </c>
      <c r="K66" s="115">
        <f t="shared" si="1"/>
        <v>0</v>
      </c>
      <c r="L66" s="115">
        <f>SUMIFS('8. Uitgaven betaalverzoek'!$U:$U,'8. Uitgaven betaalverzoek'!$E:$E,$A66,'8. Uitgaven betaalverzoek'!$F:$F,$B66,'8. Uitgaven betaalverzoek'!$A:$A,Keuze_DB_Nr)</f>
        <v>0</v>
      </c>
      <c r="M66" s="115">
        <f>SUMIFS('8. Uitgaven betaalverzoek'!$V:$V,'8. Uitgaven betaalverzoek'!$E:$E,$A66,'8. Uitgaven betaalverzoek'!$F:$F,$B66,'8. Uitgaven betaalverzoek'!$A:$A,Keuze_DB_Nr)</f>
        <v>0</v>
      </c>
      <c r="N66" s="115" t="str">
        <f>IF($C66&lt;&gt;"",SUMIFS('8. Uitgaven betaalverzoek'!$W:$W,'8. Uitgaven betaalverzoek'!$E:$E,$A66,'8. Uitgaven betaalverzoek'!$F:$F,$B66,'8. Uitgaven betaalverzoek'!$A:$A,Keuze_DB_Nr),"")</f>
        <v/>
      </c>
      <c r="O66" s="115" t="str">
        <f>IF($C66&lt;&gt;"",SUMIFS('8. Uitgaven betaalverzoek'!$X:$X,'8. Uitgaven betaalverzoek'!$E:$E,$A66,'8. Uitgaven betaalverzoek'!$F:$F,$B66,'8. Uitgaven betaalverzoek'!$A:$A,Keuze_DB_Nr),"")</f>
        <v/>
      </c>
      <c r="P66" s="115">
        <f t="shared" si="5"/>
        <v>0</v>
      </c>
      <c r="Q66" s="115">
        <f t="shared" si="6"/>
        <v>0</v>
      </c>
      <c r="R66" s="115">
        <f>SUMIFS('8. Uitgaven betaalverzoek'!$U:$U,'8. Uitgaven betaalverzoek'!$E:$E,$A66,'8. Uitgaven betaalverzoek'!$F:$F,$B66,'8. Uitgaven betaalverzoek'!$A:$A,Keuze_DB_Nr_BEO)</f>
        <v>0</v>
      </c>
      <c r="S66" s="115">
        <f>SUMIFS('8. Uitgaven betaalverzoek'!$V:$V,'8. Uitgaven betaalverzoek'!$E:$E,$A66,'8. Uitgaven betaalverzoek'!$F:$F,$B66,'8. Uitgaven betaalverzoek'!$A:$A,Keuze_DB_Nr_BEO)</f>
        <v>0</v>
      </c>
      <c r="T66" s="115" t="str">
        <f>IF($C66&lt;&gt;"",SUMIFS('8. Uitgaven betaalverzoek'!$W:$W,'8. Uitgaven betaalverzoek'!$E:$E,$A66,'8. Uitgaven betaalverzoek'!$F:$F,$B66,'8. Uitgaven betaalverzoek'!$A:$A,Keuze_DB_Nr_BEO),"")</f>
        <v/>
      </c>
      <c r="U66" s="115" t="str">
        <f>IF($C66&lt;&gt;"",SUMIFS('8. Uitgaven betaalverzoek'!$X:$X,'8. Uitgaven betaalverzoek'!$E:$E,$A66,'8. Uitgaven betaalverzoek'!$F:$F,$B66,'8. Uitgaven betaalverzoek'!$A:$A,Keuze_DB_Nr_BEO),"")</f>
        <v/>
      </c>
      <c r="V66" s="115">
        <f t="shared" si="2"/>
        <v>0</v>
      </c>
      <c r="W66" s="115">
        <f t="shared" si="3"/>
        <v>0</v>
      </c>
    </row>
    <row r="67" spans="1:23" x14ac:dyDescent="0.25">
      <c r="A67" s="18"/>
      <c r="B67" s="18"/>
      <c r="C67" s="106" t="str" cm="1">
        <f t="array" ref="C67">IFERROR(INDEX(Tb_KostenOpties[],MATCH(B67,Tb_KostenOptiesDB[KostenOptie],0),IFERROR(MATCH(Methode_Keuze,Tb_KostenOptiesDB[#Headers],0),2)),"")</f>
        <v/>
      </c>
      <c r="D67" s="118">
        <f>IFERROR(INDEX(Tb_ProjectKosten[],MATCH($B67,Tb_ProjectKosten[Begroting],0),6),0)</f>
        <v>0</v>
      </c>
      <c r="E67" s="116">
        <f>SUMIFS('8. Uitgaven betaalverzoek'!$U:$U,'8. Uitgaven betaalverzoek'!$E:$E,$A67,'8. Uitgaven betaalverzoek'!$F:$F,$B67)</f>
        <v>0</v>
      </c>
      <c r="F67" s="116">
        <f>SUMIFS('8. Uitgaven betaalverzoek'!$V:$V,'8. Uitgaven betaalverzoek'!$E:$E,$A67,'8. Uitgaven betaalverzoek'!$F:$F,$B67)</f>
        <v>0</v>
      </c>
      <c r="G67" s="116" t="str">
        <f>IF(C67&lt;&gt;"",SUMIFS('8. Uitgaven betaalverzoek'!$W:$W,'8. Uitgaven betaalverzoek'!$E:$E,$A67,'8. Uitgaven betaalverzoek'!$F:$F,$B67),"")</f>
        <v/>
      </c>
      <c r="H67" s="116" t="str">
        <f>IF(C67&lt;&gt;"",SUMIFS('8. Uitgaven betaalverzoek'!$X:$X,'8. Uitgaven betaalverzoek'!$E:$E,$A67,'8. Uitgaven betaalverzoek'!$F:$F,$B67),"")</f>
        <v/>
      </c>
      <c r="I67" s="118" t="str">
        <f>IFERROR(VLOOKUP(A67,Lijsten!$AD:$AE,2,0),"")</f>
        <v/>
      </c>
      <c r="J67" s="116">
        <f t="shared" si="4"/>
        <v>0</v>
      </c>
      <c r="K67" s="116">
        <f t="shared" si="4"/>
        <v>0</v>
      </c>
      <c r="L67" s="116">
        <f>SUMIFS('8. Uitgaven betaalverzoek'!$U:$U,'8. Uitgaven betaalverzoek'!$E:$E,$A67,'8. Uitgaven betaalverzoek'!$F:$F,$B67,'8. Uitgaven betaalverzoek'!$A:$A,Keuze_DB_Nr)</f>
        <v>0</v>
      </c>
      <c r="M67" s="116">
        <f>SUMIFS('8. Uitgaven betaalverzoek'!$V:$V,'8. Uitgaven betaalverzoek'!$E:$E,$A67,'8. Uitgaven betaalverzoek'!$F:$F,$B67,'8. Uitgaven betaalverzoek'!$A:$A,Keuze_DB_Nr)</f>
        <v>0</v>
      </c>
      <c r="N67" s="116" t="str">
        <f>IF($C67&lt;&gt;"",SUMIFS('8. Uitgaven betaalverzoek'!$W:$W,'8. Uitgaven betaalverzoek'!$E:$E,$A67,'8. Uitgaven betaalverzoek'!$F:$F,$B67,'8. Uitgaven betaalverzoek'!$A:$A,Keuze_DB_Nr),"")</f>
        <v/>
      </c>
      <c r="O67" s="116" t="str">
        <f>IF($C67&lt;&gt;"",SUMIFS('8. Uitgaven betaalverzoek'!$X:$X,'8. Uitgaven betaalverzoek'!$E:$E,$A67,'8. Uitgaven betaalverzoek'!$F:$F,$B67,'8. Uitgaven betaalverzoek'!$A:$A,Keuze_DB_Nr),"")</f>
        <v/>
      </c>
      <c r="P67" s="116">
        <f t="shared" si="5"/>
        <v>0</v>
      </c>
      <c r="Q67" s="116">
        <f t="shared" si="6"/>
        <v>0</v>
      </c>
      <c r="R67" s="116">
        <f>SUMIFS('8. Uitgaven betaalverzoek'!$U:$U,'8. Uitgaven betaalverzoek'!$E:$E,$A67,'8. Uitgaven betaalverzoek'!$F:$F,$B67,'8. Uitgaven betaalverzoek'!$A:$A,Keuze_DB_Nr_BEO)</f>
        <v>0</v>
      </c>
      <c r="S67" s="116">
        <f>SUMIFS('8. Uitgaven betaalverzoek'!$V:$V,'8. Uitgaven betaalverzoek'!$E:$E,$A67,'8. Uitgaven betaalverzoek'!$F:$F,$B67,'8. Uitgaven betaalverzoek'!$A:$A,Keuze_DB_Nr_BEO)</f>
        <v>0</v>
      </c>
      <c r="T67" s="116" t="str">
        <f>IF($C67&lt;&gt;"",SUMIFS('8. Uitgaven betaalverzoek'!$W:$W,'8. Uitgaven betaalverzoek'!$E:$E,$A67,'8. Uitgaven betaalverzoek'!$F:$F,$B67,'8. Uitgaven betaalverzoek'!$A:$A,Keuze_DB_Nr_BEO),"")</f>
        <v/>
      </c>
      <c r="U67" s="116" t="str">
        <f>IF($C67&lt;&gt;"",SUMIFS('8. Uitgaven betaalverzoek'!$X:$X,'8. Uitgaven betaalverzoek'!$E:$E,$A67,'8. Uitgaven betaalverzoek'!$F:$F,$B67,'8. Uitgaven betaalverzoek'!$A:$A,Keuze_DB_Nr_BEO),"")</f>
        <v/>
      </c>
      <c r="V67" s="116">
        <f t="shared" ref="V67:V100" si="7">IFERROR($I67*(R67+T67),0)</f>
        <v>0</v>
      </c>
      <c r="W67" s="116">
        <f t="shared" ref="W67:W100" si="8">IFERROR($I67*(S67+U67),0)</f>
        <v>0</v>
      </c>
    </row>
    <row r="68" spans="1:23" x14ac:dyDescent="0.25">
      <c r="A68" s="78"/>
      <c r="B68" s="78"/>
      <c r="C68" s="105" t="str" cm="1">
        <f t="array" ref="C68">IFERROR(INDEX(Tb_KostenOpties[],MATCH(B68,Tb_KostenOptiesDB[KostenOptie],0),IFERROR(MATCH(Methode_Keuze,Tb_KostenOptiesDB[#Headers],0),2)),"")</f>
        <v/>
      </c>
      <c r="D68" s="117">
        <f>IFERROR(INDEX(Tb_ProjectKosten[],MATCH($B68,Tb_ProjectKosten[Begroting],0),6),0)</f>
        <v>0</v>
      </c>
      <c r="E68" s="115">
        <f>SUMIFS('8. Uitgaven betaalverzoek'!$U:$U,'8. Uitgaven betaalverzoek'!$E:$E,$A68,'8. Uitgaven betaalverzoek'!$F:$F,$B68)</f>
        <v>0</v>
      </c>
      <c r="F68" s="115">
        <f>SUMIFS('8. Uitgaven betaalverzoek'!$V:$V,'8. Uitgaven betaalverzoek'!$E:$E,$A68,'8. Uitgaven betaalverzoek'!$F:$F,$B68)</f>
        <v>0</v>
      </c>
      <c r="G68" s="115" t="str">
        <f>IF(C68&lt;&gt;"",SUMIFS('8. Uitgaven betaalverzoek'!$W:$W,'8. Uitgaven betaalverzoek'!$E:$E,$A68,'8. Uitgaven betaalverzoek'!$F:$F,$B68),"")</f>
        <v/>
      </c>
      <c r="H68" s="115" t="str">
        <f>IF(C68&lt;&gt;"",SUMIFS('8. Uitgaven betaalverzoek'!$X:$X,'8. Uitgaven betaalverzoek'!$E:$E,$A68,'8. Uitgaven betaalverzoek'!$F:$F,$B68),"")</f>
        <v/>
      </c>
      <c r="I68" s="117" t="str">
        <f>IFERROR(VLOOKUP(A68,Lijsten!$AD:$AE,2,0),"")</f>
        <v/>
      </c>
      <c r="J68" s="115">
        <f t="shared" si="4"/>
        <v>0</v>
      </c>
      <c r="K68" s="115">
        <f t="shared" si="4"/>
        <v>0</v>
      </c>
      <c r="L68" s="115">
        <f>SUMIFS('8. Uitgaven betaalverzoek'!$U:$U,'8. Uitgaven betaalverzoek'!$E:$E,$A68,'8. Uitgaven betaalverzoek'!$F:$F,$B68,'8. Uitgaven betaalverzoek'!$A:$A,Keuze_DB_Nr)</f>
        <v>0</v>
      </c>
      <c r="M68" s="115">
        <f>SUMIFS('8. Uitgaven betaalverzoek'!$V:$V,'8. Uitgaven betaalverzoek'!$E:$E,$A68,'8. Uitgaven betaalverzoek'!$F:$F,$B68,'8. Uitgaven betaalverzoek'!$A:$A,Keuze_DB_Nr)</f>
        <v>0</v>
      </c>
      <c r="N68" s="115" t="str">
        <f>IF($C68&lt;&gt;"",SUMIFS('8. Uitgaven betaalverzoek'!$W:$W,'8. Uitgaven betaalverzoek'!$E:$E,$A68,'8. Uitgaven betaalverzoek'!$F:$F,$B68,'8. Uitgaven betaalverzoek'!$A:$A,Keuze_DB_Nr),"")</f>
        <v/>
      </c>
      <c r="O68" s="115" t="str">
        <f>IF($C68&lt;&gt;"",SUMIFS('8. Uitgaven betaalverzoek'!$X:$X,'8. Uitgaven betaalverzoek'!$E:$E,$A68,'8. Uitgaven betaalverzoek'!$F:$F,$B68,'8. Uitgaven betaalverzoek'!$A:$A,Keuze_DB_Nr),"")</f>
        <v/>
      </c>
      <c r="P68" s="115">
        <f t="shared" si="5"/>
        <v>0</v>
      </c>
      <c r="Q68" s="115">
        <f t="shared" si="6"/>
        <v>0</v>
      </c>
      <c r="R68" s="115">
        <f>SUMIFS('8. Uitgaven betaalverzoek'!$U:$U,'8. Uitgaven betaalverzoek'!$E:$E,$A68,'8. Uitgaven betaalverzoek'!$F:$F,$B68,'8. Uitgaven betaalverzoek'!$A:$A,Keuze_DB_Nr_BEO)</f>
        <v>0</v>
      </c>
      <c r="S68" s="115">
        <f>SUMIFS('8. Uitgaven betaalverzoek'!$V:$V,'8. Uitgaven betaalverzoek'!$E:$E,$A68,'8. Uitgaven betaalverzoek'!$F:$F,$B68,'8. Uitgaven betaalverzoek'!$A:$A,Keuze_DB_Nr_BEO)</f>
        <v>0</v>
      </c>
      <c r="T68" s="115" t="str">
        <f>IF($C68&lt;&gt;"",SUMIFS('8. Uitgaven betaalverzoek'!$W:$W,'8. Uitgaven betaalverzoek'!$E:$E,$A68,'8. Uitgaven betaalverzoek'!$F:$F,$B68,'8. Uitgaven betaalverzoek'!$A:$A,Keuze_DB_Nr_BEO),"")</f>
        <v/>
      </c>
      <c r="U68" s="115" t="str">
        <f>IF($C68&lt;&gt;"",SUMIFS('8. Uitgaven betaalverzoek'!$X:$X,'8. Uitgaven betaalverzoek'!$E:$E,$A68,'8. Uitgaven betaalverzoek'!$F:$F,$B68,'8. Uitgaven betaalverzoek'!$A:$A,Keuze_DB_Nr_BEO),"")</f>
        <v/>
      </c>
      <c r="V68" s="115">
        <f t="shared" si="7"/>
        <v>0</v>
      </c>
      <c r="W68" s="115">
        <f t="shared" si="8"/>
        <v>0</v>
      </c>
    </row>
    <row r="69" spans="1:23" x14ac:dyDescent="0.25">
      <c r="A69" s="18"/>
      <c r="B69" s="18"/>
      <c r="C69" s="106" t="str" cm="1">
        <f t="array" ref="C69">IFERROR(INDEX(Tb_KostenOpties[],MATCH(B69,Tb_KostenOptiesDB[KostenOptie],0),IFERROR(MATCH(Methode_Keuze,Tb_KostenOptiesDB[#Headers],0),2)),"")</f>
        <v/>
      </c>
      <c r="D69" s="118">
        <f>IFERROR(INDEX(Tb_ProjectKosten[],MATCH($B69,Tb_ProjectKosten[Begroting],0),6),0)</f>
        <v>0</v>
      </c>
      <c r="E69" s="116">
        <f>SUMIFS('8. Uitgaven betaalverzoek'!$U:$U,'8. Uitgaven betaalverzoek'!$E:$E,$A69,'8. Uitgaven betaalverzoek'!$F:$F,$B69)</f>
        <v>0</v>
      </c>
      <c r="F69" s="116">
        <f>SUMIFS('8. Uitgaven betaalverzoek'!$V:$V,'8. Uitgaven betaalverzoek'!$E:$E,$A69,'8. Uitgaven betaalverzoek'!$F:$F,$B69)</f>
        <v>0</v>
      </c>
      <c r="G69" s="116" t="str">
        <f>IF(C69&lt;&gt;"",SUMIFS('8. Uitgaven betaalverzoek'!$W:$W,'8. Uitgaven betaalverzoek'!$E:$E,$A69,'8. Uitgaven betaalverzoek'!$F:$F,$B69),"")</f>
        <v/>
      </c>
      <c r="H69" s="116" t="str">
        <f>IF(C69&lt;&gt;"",SUMIFS('8. Uitgaven betaalverzoek'!$X:$X,'8. Uitgaven betaalverzoek'!$E:$E,$A69,'8. Uitgaven betaalverzoek'!$F:$F,$B69),"")</f>
        <v/>
      </c>
      <c r="I69" s="118" t="str">
        <f>IFERROR(VLOOKUP(A69,Lijsten!$AD:$AE,2,0),"")</f>
        <v/>
      </c>
      <c r="J69" s="116">
        <f t="shared" ref="J69:K100" si="9">IFERROR($I69*(E69+G69),0)</f>
        <v>0</v>
      </c>
      <c r="K69" s="116">
        <f t="shared" si="9"/>
        <v>0</v>
      </c>
      <c r="L69" s="116">
        <f>SUMIFS('8. Uitgaven betaalverzoek'!$U:$U,'8. Uitgaven betaalverzoek'!$E:$E,$A69,'8. Uitgaven betaalverzoek'!$F:$F,$B69,'8. Uitgaven betaalverzoek'!$A:$A,Keuze_DB_Nr)</f>
        <v>0</v>
      </c>
      <c r="M69" s="116">
        <f>SUMIFS('8. Uitgaven betaalverzoek'!$V:$V,'8. Uitgaven betaalverzoek'!$E:$E,$A69,'8. Uitgaven betaalverzoek'!$F:$F,$B69,'8. Uitgaven betaalverzoek'!$A:$A,Keuze_DB_Nr)</f>
        <v>0</v>
      </c>
      <c r="N69" s="116" t="str">
        <f>IF($C69&lt;&gt;"",SUMIFS('8. Uitgaven betaalverzoek'!$W:$W,'8. Uitgaven betaalverzoek'!$E:$E,$A69,'8. Uitgaven betaalverzoek'!$F:$F,$B69,'8. Uitgaven betaalverzoek'!$A:$A,Keuze_DB_Nr),"")</f>
        <v/>
      </c>
      <c r="O69" s="116" t="str">
        <f>IF($C69&lt;&gt;"",SUMIFS('8. Uitgaven betaalverzoek'!$X:$X,'8. Uitgaven betaalverzoek'!$E:$E,$A69,'8. Uitgaven betaalverzoek'!$F:$F,$B69,'8. Uitgaven betaalverzoek'!$A:$A,Keuze_DB_Nr),"")</f>
        <v/>
      </c>
      <c r="P69" s="116">
        <f t="shared" si="5"/>
        <v>0</v>
      </c>
      <c r="Q69" s="116">
        <f t="shared" si="6"/>
        <v>0</v>
      </c>
      <c r="R69" s="116">
        <f>SUMIFS('8. Uitgaven betaalverzoek'!$U:$U,'8. Uitgaven betaalverzoek'!$E:$E,$A69,'8. Uitgaven betaalverzoek'!$F:$F,$B69,'8. Uitgaven betaalverzoek'!$A:$A,Keuze_DB_Nr_BEO)</f>
        <v>0</v>
      </c>
      <c r="S69" s="116">
        <f>SUMIFS('8. Uitgaven betaalverzoek'!$V:$V,'8. Uitgaven betaalverzoek'!$E:$E,$A69,'8. Uitgaven betaalverzoek'!$F:$F,$B69,'8. Uitgaven betaalverzoek'!$A:$A,Keuze_DB_Nr_BEO)</f>
        <v>0</v>
      </c>
      <c r="T69" s="116" t="str">
        <f>IF($C69&lt;&gt;"",SUMIFS('8. Uitgaven betaalverzoek'!$W:$W,'8. Uitgaven betaalverzoek'!$E:$E,$A69,'8. Uitgaven betaalverzoek'!$F:$F,$B69,'8. Uitgaven betaalverzoek'!$A:$A,Keuze_DB_Nr_BEO),"")</f>
        <v/>
      </c>
      <c r="U69" s="116" t="str">
        <f>IF($C69&lt;&gt;"",SUMIFS('8. Uitgaven betaalverzoek'!$X:$X,'8. Uitgaven betaalverzoek'!$E:$E,$A69,'8. Uitgaven betaalverzoek'!$F:$F,$B69,'8. Uitgaven betaalverzoek'!$A:$A,Keuze_DB_Nr_BEO),"")</f>
        <v/>
      </c>
      <c r="V69" s="116">
        <f t="shared" si="7"/>
        <v>0</v>
      </c>
      <c r="W69" s="116">
        <f t="shared" si="8"/>
        <v>0</v>
      </c>
    </row>
    <row r="70" spans="1:23" x14ac:dyDescent="0.25">
      <c r="A70" s="78"/>
      <c r="B70" s="78"/>
      <c r="C70" s="105" t="str" cm="1">
        <f t="array" ref="C70">IFERROR(INDEX(Tb_KostenOpties[],MATCH(B70,Tb_KostenOptiesDB[KostenOptie],0),IFERROR(MATCH(Methode_Keuze,Tb_KostenOptiesDB[#Headers],0),2)),"")</f>
        <v/>
      </c>
      <c r="D70" s="117">
        <f>IFERROR(INDEX(Tb_ProjectKosten[],MATCH($B70,Tb_ProjectKosten[Begroting],0),6),0)</f>
        <v>0</v>
      </c>
      <c r="E70" s="115">
        <f>SUMIFS('8. Uitgaven betaalverzoek'!$U:$U,'8. Uitgaven betaalverzoek'!$E:$E,$A70,'8. Uitgaven betaalverzoek'!$F:$F,$B70)</f>
        <v>0</v>
      </c>
      <c r="F70" s="115">
        <f>SUMIFS('8. Uitgaven betaalverzoek'!$V:$V,'8. Uitgaven betaalverzoek'!$E:$E,$A70,'8. Uitgaven betaalverzoek'!$F:$F,$B70)</f>
        <v>0</v>
      </c>
      <c r="G70" s="115" t="str">
        <f>IF(C70&lt;&gt;"",SUMIFS('8. Uitgaven betaalverzoek'!$W:$W,'8. Uitgaven betaalverzoek'!$E:$E,$A70,'8. Uitgaven betaalverzoek'!$F:$F,$B70),"")</f>
        <v/>
      </c>
      <c r="H70" s="115" t="str">
        <f>IF(C70&lt;&gt;"",SUMIFS('8. Uitgaven betaalverzoek'!$X:$X,'8. Uitgaven betaalverzoek'!$E:$E,$A70,'8. Uitgaven betaalverzoek'!$F:$F,$B70),"")</f>
        <v/>
      </c>
      <c r="I70" s="117" t="str">
        <f>IFERROR(VLOOKUP(A70,Lijsten!$AD:$AE,2,0),"")</f>
        <v/>
      </c>
      <c r="J70" s="115">
        <f t="shared" si="9"/>
        <v>0</v>
      </c>
      <c r="K70" s="115">
        <f t="shared" si="9"/>
        <v>0</v>
      </c>
      <c r="L70" s="115">
        <f>SUMIFS('8. Uitgaven betaalverzoek'!$U:$U,'8. Uitgaven betaalverzoek'!$E:$E,$A70,'8. Uitgaven betaalverzoek'!$F:$F,$B70,'8. Uitgaven betaalverzoek'!$A:$A,Keuze_DB_Nr)</f>
        <v>0</v>
      </c>
      <c r="M70" s="115">
        <f>SUMIFS('8. Uitgaven betaalverzoek'!$V:$V,'8. Uitgaven betaalverzoek'!$E:$E,$A70,'8. Uitgaven betaalverzoek'!$F:$F,$B70,'8. Uitgaven betaalverzoek'!$A:$A,Keuze_DB_Nr)</f>
        <v>0</v>
      </c>
      <c r="N70" s="115" t="str">
        <f>IF($C70&lt;&gt;"",SUMIFS('8. Uitgaven betaalverzoek'!$W:$W,'8. Uitgaven betaalverzoek'!$E:$E,$A70,'8. Uitgaven betaalverzoek'!$F:$F,$B70,'8. Uitgaven betaalverzoek'!$A:$A,Keuze_DB_Nr),"")</f>
        <v/>
      </c>
      <c r="O70" s="115" t="str">
        <f>IF($C70&lt;&gt;"",SUMIFS('8. Uitgaven betaalverzoek'!$X:$X,'8. Uitgaven betaalverzoek'!$E:$E,$A70,'8. Uitgaven betaalverzoek'!$F:$F,$B70,'8. Uitgaven betaalverzoek'!$A:$A,Keuze_DB_Nr),"")</f>
        <v/>
      </c>
      <c r="P70" s="115">
        <f t="shared" ref="P70:P99" si="10">IFERROR($I70*(L70+N70),0)</f>
        <v>0</v>
      </c>
      <c r="Q70" s="115">
        <f t="shared" ref="Q70:Q99" si="11">IFERROR($I70*(M70+O70),0)</f>
        <v>0</v>
      </c>
      <c r="R70" s="115">
        <f>SUMIFS('8. Uitgaven betaalverzoek'!$U:$U,'8. Uitgaven betaalverzoek'!$E:$E,$A70,'8. Uitgaven betaalverzoek'!$F:$F,$B70,'8. Uitgaven betaalverzoek'!$A:$A,Keuze_DB_Nr_BEO)</f>
        <v>0</v>
      </c>
      <c r="S70" s="115">
        <f>SUMIFS('8. Uitgaven betaalverzoek'!$V:$V,'8. Uitgaven betaalverzoek'!$E:$E,$A70,'8. Uitgaven betaalverzoek'!$F:$F,$B70,'8. Uitgaven betaalverzoek'!$A:$A,Keuze_DB_Nr_BEO)</f>
        <v>0</v>
      </c>
      <c r="T70" s="115" t="str">
        <f>IF($C70&lt;&gt;"",SUMIFS('8. Uitgaven betaalverzoek'!$W:$W,'8. Uitgaven betaalverzoek'!$E:$E,$A70,'8. Uitgaven betaalverzoek'!$F:$F,$B70,'8. Uitgaven betaalverzoek'!$A:$A,Keuze_DB_Nr_BEO),"")</f>
        <v/>
      </c>
      <c r="U70" s="115" t="str">
        <f>IF($C70&lt;&gt;"",SUMIFS('8. Uitgaven betaalverzoek'!$X:$X,'8. Uitgaven betaalverzoek'!$E:$E,$A70,'8. Uitgaven betaalverzoek'!$F:$F,$B70,'8. Uitgaven betaalverzoek'!$A:$A,Keuze_DB_Nr_BEO),"")</f>
        <v/>
      </c>
      <c r="V70" s="115">
        <f t="shared" si="7"/>
        <v>0</v>
      </c>
      <c r="W70" s="115">
        <f t="shared" si="8"/>
        <v>0</v>
      </c>
    </row>
    <row r="71" spans="1:23" x14ac:dyDescent="0.25">
      <c r="A71" s="18"/>
      <c r="B71" s="18"/>
      <c r="C71" s="106" t="str" cm="1">
        <f t="array" ref="C71">IFERROR(INDEX(Tb_KostenOpties[],MATCH(B71,Tb_KostenOptiesDB[KostenOptie],0),IFERROR(MATCH(Methode_Keuze,Tb_KostenOptiesDB[#Headers],0),2)),"")</f>
        <v/>
      </c>
      <c r="D71" s="118">
        <f>IFERROR(INDEX(Tb_ProjectKosten[],MATCH($B71,Tb_ProjectKosten[Begroting],0),6),0)</f>
        <v>0</v>
      </c>
      <c r="E71" s="116">
        <f>SUMIFS('8. Uitgaven betaalverzoek'!$U:$U,'8. Uitgaven betaalverzoek'!$E:$E,$A71,'8. Uitgaven betaalverzoek'!$F:$F,$B71)</f>
        <v>0</v>
      </c>
      <c r="F71" s="116">
        <f>SUMIFS('8. Uitgaven betaalverzoek'!$V:$V,'8. Uitgaven betaalverzoek'!$E:$E,$A71,'8. Uitgaven betaalverzoek'!$F:$F,$B71)</f>
        <v>0</v>
      </c>
      <c r="G71" s="116" t="str">
        <f>IF(C71&lt;&gt;"",SUMIFS('8. Uitgaven betaalverzoek'!$W:$W,'8. Uitgaven betaalverzoek'!$E:$E,$A71,'8. Uitgaven betaalverzoek'!$F:$F,$B71),"")</f>
        <v/>
      </c>
      <c r="H71" s="116" t="str">
        <f>IF(C71&lt;&gt;"",SUMIFS('8. Uitgaven betaalverzoek'!$X:$X,'8. Uitgaven betaalverzoek'!$E:$E,$A71,'8. Uitgaven betaalverzoek'!$F:$F,$B71),"")</f>
        <v/>
      </c>
      <c r="I71" s="118" t="str">
        <f>IFERROR(VLOOKUP(A71,Lijsten!$AD:$AE,2,0),"")</f>
        <v/>
      </c>
      <c r="J71" s="116">
        <f t="shared" si="9"/>
        <v>0</v>
      </c>
      <c r="K71" s="116">
        <f t="shared" si="9"/>
        <v>0</v>
      </c>
      <c r="L71" s="116">
        <f>SUMIFS('8. Uitgaven betaalverzoek'!$U:$U,'8. Uitgaven betaalverzoek'!$E:$E,$A71,'8. Uitgaven betaalverzoek'!$F:$F,$B71,'8. Uitgaven betaalverzoek'!$A:$A,Keuze_DB_Nr)</f>
        <v>0</v>
      </c>
      <c r="M71" s="116">
        <f>SUMIFS('8. Uitgaven betaalverzoek'!$V:$V,'8. Uitgaven betaalverzoek'!$E:$E,$A71,'8. Uitgaven betaalverzoek'!$F:$F,$B71,'8. Uitgaven betaalverzoek'!$A:$A,Keuze_DB_Nr)</f>
        <v>0</v>
      </c>
      <c r="N71" s="116" t="str">
        <f>IF($C71&lt;&gt;"",SUMIFS('8. Uitgaven betaalverzoek'!$W:$W,'8. Uitgaven betaalverzoek'!$E:$E,$A71,'8. Uitgaven betaalverzoek'!$F:$F,$B71,'8. Uitgaven betaalverzoek'!$A:$A,Keuze_DB_Nr),"")</f>
        <v/>
      </c>
      <c r="O71" s="116" t="str">
        <f>IF($C71&lt;&gt;"",SUMIFS('8. Uitgaven betaalverzoek'!$X:$X,'8. Uitgaven betaalverzoek'!$E:$E,$A71,'8. Uitgaven betaalverzoek'!$F:$F,$B71,'8. Uitgaven betaalverzoek'!$A:$A,Keuze_DB_Nr),"")</f>
        <v/>
      </c>
      <c r="P71" s="116">
        <f t="shared" si="10"/>
        <v>0</v>
      </c>
      <c r="Q71" s="116">
        <f t="shared" si="11"/>
        <v>0</v>
      </c>
      <c r="R71" s="116">
        <f>SUMIFS('8. Uitgaven betaalverzoek'!$U:$U,'8. Uitgaven betaalverzoek'!$E:$E,$A71,'8. Uitgaven betaalverzoek'!$F:$F,$B71,'8. Uitgaven betaalverzoek'!$A:$A,Keuze_DB_Nr_BEO)</f>
        <v>0</v>
      </c>
      <c r="S71" s="116">
        <f>SUMIFS('8. Uitgaven betaalverzoek'!$V:$V,'8. Uitgaven betaalverzoek'!$E:$E,$A71,'8. Uitgaven betaalverzoek'!$F:$F,$B71,'8. Uitgaven betaalverzoek'!$A:$A,Keuze_DB_Nr_BEO)</f>
        <v>0</v>
      </c>
      <c r="T71" s="116" t="str">
        <f>IF($C71&lt;&gt;"",SUMIFS('8. Uitgaven betaalverzoek'!$W:$W,'8. Uitgaven betaalverzoek'!$E:$E,$A71,'8. Uitgaven betaalverzoek'!$F:$F,$B71,'8. Uitgaven betaalverzoek'!$A:$A,Keuze_DB_Nr_BEO),"")</f>
        <v/>
      </c>
      <c r="U71" s="116" t="str">
        <f>IF($C71&lt;&gt;"",SUMIFS('8. Uitgaven betaalverzoek'!$X:$X,'8. Uitgaven betaalverzoek'!$E:$E,$A71,'8. Uitgaven betaalverzoek'!$F:$F,$B71,'8. Uitgaven betaalverzoek'!$A:$A,Keuze_DB_Nr_BEO),"")</f>
        <v/>
      </c>
      <c r="V71" s="116">
        <f t="shared" si="7"/>
        <v>0</v>
      </c>
      <c r="W71" s="116">
        <f t="shared" si="8"/>
        <v>0</v>
      </c>
    </row>
    <row r="72" spans="1:23" x14ac:dyDescent="0.25">
      <c r="A72" s="78"/>
      <c r="B72" s="78"/>
      <c r="C72" s="105" t="str" cm="1">
        <f t="array" ref="C72">IFERROR(INDEX(Tb_KostenOpties[],MATCH(B72,Tb_KostenOptiesDB[KostenOptie],0),IFERROR(MATCH(Methode_Keuze,Tb_KostenOptiesDB[#Headers],0),2)),"")</f>
        <v/>
      </c>
      <c r="D72" s="117">
        <f>IFERROR(INDEX(Tb_ProjectKosten[],MATCH($B72,Tb_ProjectKosten[Begroting],0),6),0)</f>
        <v>0</v>
      </c>
      <c r="E72" s="115">
        <f>SUMIFS('8. Uitgaven betaalverzoek'!$U:$U,'8. Uitgaven betaalverzoek'!$E:$E,$A72,'8. Uitgaven betaalverzoek'!$F:$F,$B72)</f>
        <v>0</v>
      </c>
      <c r="F72" s="115">
        <f>SUMIFS('8. Uitgaven betaalverzoek'!$V:$V,'8. Uitgaven betaalverzoek'!$E:$E,$A72,'8. Uitgaven betaalverzoek'!$F:$F,$B72)</f>
        <v>0</v>
      </c>
      <c r="G72" s="115" t="str">
        <f>IF(C72&lt;&gt;"",SUMIFS('8. Uitgaven betaalverzoek'!$W:$W,'8. Uitgaven betaalverzoek'!$E:$E,$A72,'8. Uitgaven betaalverzoek'!$F:$F,$B72),"")</f>
        <v/>
      </c>
      <c r="H72" s="115" t="str">
        <f>IF(C72&lt;&gt;"",SUMIFS('8. Uitgaven betaalverzoek'!$X:$X,'8. Uitgaven betaalverzoek'!$E:$E,$A72,'8. Uitgaven betaalverzoek'!$F:$F,$B72),"")</f>
        <v/>
      </c>
      <c r="I72" s="117" t="str">
        <f>IFERROR(VLOOKUP(A72,Lijsten!$AD:$AE,2,0),"")</f>
        <v/>
      </c>
      <c r="J72" s="115">
        <f t="shared" si="9"/>
        <v>0</v>
      </c>
      <c r="K72" s="115">
        <f t="shared" si="9"/>
        <v>0</v>
      </c>
      <c r="L72" s="115">
        <f>SUMIFS('8. Uitgaven betaalverzoek'!$U:$U,'8. Uitgaven betaalverzoek'!$E:$E,$A72,'8. Uitgaven betaalverzoek'!$F:$F,$B72,'8. Uitgaven betaalverzoek'!$A:$A,Keuze_DB_Nr)</f>
        <v>0</v>
      </c>
      <c r="M72" s="115">
        <f>SUMIFS('8. Uitgaven betaalverzoek'!$V:$V,'8. Uitgaven betaalverzoek'!$E:$E,$A72,'8. Uitgaven betaalverzoek'!$F:$F,$B72,'8. Uitgaven betaalverzoek'!$A:$A,Keuze_DB_Nr)</f>
        <v>0</v>
      </c>
      <c r="N72" s="115" t="str">
        <f>IF($C72&lt;&gt;"",SUMIFS('8. Uitgaven betaalverzoek'!$W:$W,'8. Uitgaven betaalverzoek'!$E:$E,$A72,'8. Uitgaven betaalverzoek'!$F:$F,$B72,'8. Uitgaven betaalverzoek'!$A:$A,Keuze_DB_Nr),"")</f>
        <v/>
      </c>
      <c r="O72" s="115" t="str">
        <f>IF($C72&lt;&gt;"",SUMIFS('8. Uitgaven betaalverzoek'!$X:$X,'8. Uitgaven betaalverzoek'!$E:$E,$A72,'8. Uitgaven betaalverzoek'!$F:$F,$B72,'8. Uitgaven betaalverzoek'!$A:$A,Keuze_DB_Nr),"")</f>
        <v/>
      </c>
      <c r="P72" s="115">
        <f t="shared" si="10"/>
        <v>0</v>
      </c>
      <c r="Q72" s="115">
        <f t="shared" si="11"/>
        <v>0</v>
      </c>
      <c r="R72" s="115">
        <f>SUMIFS('8. Uitgaven betaalverzoek'!$U:$U,'8. Uitgaven betaalverzoek'!$E:$E,$A72,'8. Uitgaven betaalverzoek'!$F:$F,$B72,'8. Uitgaven betaalverzoek'!$A:$A,Keuze_DB_Nr_BEO)</f>
        <v>0</v>
      </c>
      <c r="S72" s="115">
        <f>SUMIFS('8. Uitgaven betaalverzoek'!$V:$V,'8. Uitgaven betaalverzoek'!$E:$E,$A72,'8. Uitgaven betaalverzoek'!$F:$F,$B72,'8. Uitgaven betaalverzoek'!$A:$A,Keuze_DB_Nr_BEO)</f>
        <v>0</v>
      </c>
      <c r="T72" s="115" t="str">
        <f>IF($C72&lt;&gt;"",SUMIFS('8. Uitgaven betaalverzoek'!$W:$W,'8. Uitgaven betaalverzoek'!$E:$E,$A72,'8. Uitgaven betaalverzoek'!$F:$F,$B72,'8. Uitgaven betaalverzoek'!$A:$A,Keuze_DB_Nr_BEO),"")</f>
        <v/>
      </c>
      <c r="U72" s="115" t="str">
        <f>IF($C72&lt;&gt;"",SUMIFS('8. Uitgaven betaalverzoek'!$X:$X,'8. Uitgaven betaalverzoek'!$E:$E,$A72,'8. Uitgaven betaalverzoek'!$F:$F,$B72,'8. Uitgaven betaalverzoek'!$A:$A,Keuze_DB_Nr_BEO),"")</f>
        <v/>
      </c>
      <c r="V72" s="115">
        <f t="shared" si="7"/>
        <v>0</v>
      </c>
      <c r="W72" s="115">
        <f t="shared" si="8"/>
        <v>0</v>
      </c>
    </row>
    <row r="73" spans="1:23" x14ac:dyDescent="0.25">
      <c r="A73" s="18"/>
      <c r="B73" s="18"/>
      <c r="C73" s="106" t="str" cm="1">
        <f t="array" ref="C73">IFERROR(INDEX(Tb_KostenOpties[],MATCH(B73,Tb_KostenOptiesDB[KostenOptie],0),IFERROR(MATCH(Methode_Keuze,Tb_KostenOptiesDB[#Headers],0),2)),"")</f>
        <v/>
      </c>
      <c r="D73" s="118">
        <f>IFERROR(INDEX(Tb_ProjectKosten[],MATCH($B73,Tb_ProjectKosten[Begroting],0),6),0)</f>
        <v>0</v>
      </c>
      <c r="E73" s="116">
        <f>SUMIFS('8. Uitgaven betaalverzoek'!$U:$U,'8. Uitgaven betaalverzoek'!$E:$E,$A73,'8. Uitgaven betaalverzoek'!$F:$F,$B73)</f>
        <v>0</v>
      </c>
      <c r="F73" s="116">
        <f>SUMIFS('8. Uitgaven betaalverzoek'!$V:$V,'8. Uitgaven betaalverzoek'!$E:$E,$A73,'8. Uitgaven betaalverzoek'!$F:$F,$B73)</f>
        <v>0</v>
      </c>
      <c r="G73" s="116" t="str">
        <f>IF(C73&lt;&gt;"",SUMIFS('8. Uitgaven betaalverzoek'!$W:$W,'8. Uitgaven betaalverzoek'!$E:$E,$A73,'8. Uitgaven betaalverzoek'!$F:$F,$B73),"")</f>
        <v/>
      </c>
      <c r="H73" s="116" t="str">
        <f>IF(C73&lt;&gt;"",SUMIFS('8. Uitgaven betaalverzoek'!$X:$X,'8. Uitgaven betaalverzoek'!$E:$E,$A73,'8. Uitgaven betaalverzoek'!$F:$F,$B73),"")</f>
        <v/>
      </c>
      <c r="I73" s="118" t="str">
        <f>IFERROR(VLOOKUP(A73,Lijsten!$AD:$AE,2,0),"")</f>
        <v/>
      </c>
      <c r="J73" s="116">
        <f t="shared" si="9"/>
        <v>0</v>
      </c>
      <c r="K73" s="116">
        <f t="shared" si="9"/>
        <v>0</v>
      </c>
      <c r="L73" s="116">
        <f>SUMIFS('8. Uitgaven betaalverzoek'!$U:$U,'8. Uitgaven betaalverzoek'!$E:$E,$A73,'8. Uitgaven betaalverzoek'!$F:$F,$B73,'8. Uitgaven betaalverzoek'!$A:$A,Keuze_DB_Nr)</f>
        <v>0</v>
      </c>
      <c r="M73" s="116">
        <f>SUMIFS('8. Uitgaven betaalverzoek'!$V:$V,'8. Uitgaven betaalverzoek'!$E:$E,$A73,'8. Uitgaven betaalverzoek'!$F:$F,$B73,'8. Uitgaven betaalverzoek'!$A:$A,Keuze_DB_Nr)</f>
        <v>0</v>
      </c>
      <c r="N73" s="116" t="str">
        <f>IF($C73&lt;&gt;"",SUMIFS('8. Uitgaven betaalverzoek'!$W:$W,'8. Uitgaven betaalverzoek'!$E:$E,$A73,'8. Uitgaven betaalverzoek'!$F:$F,$B73,'8. Uitgaven betaalverzoek'!$A:$A,Keuze_DB_Nr),"")</f>
        <v/>
      </c>
      <c r="O73" s="116" t="str">
        <f>IF($C73&lt;&gt;"",SUMIFS('8. Uitgaven betaalverzoek'!$X:$X,'8. Uitgaven betaalverzoek'!$E:$E,$A73,'8. Uitgaven betaalverzoek'!$F:$F,$B73,'8. Uitgaven betaalverzoek'!$A:$A,Keuze_DB_Nr),"")</f>
        <v/>
      </c>
      <c r="P73" s="116">
        <f t="shared" si="10"/>
        <v>0</v>
      </c>
      <c r="Q73" s="116">
        <f t="shared" si="11"/>
        <v>0</v>
      </c>
      <c r="R73" s="116">
        <f>SUMIFS('8. Uitgaven betaalverzoek'!$U:$U,'8. Uitgaven betaalverzoek'!$E:$E,$A73,'8. Uitgaven betaalverzoek'!$F:$F,$B73,'8. Uitgaven betaalverzoek'!$A:$A,Keuze_DB_Nr_BEO)</f>
        <v>0</v>
      </c>
      <c r="S73" s="116">
        <f>SUMIFS('8. Uitgaven betaalverzoek'!$V:$V,'8. Uitgaven betaalverzoek'!$E:$E,$A73,'8. Uitgaven betaalverzoek'!$F:$F,$B73,'8. Uitgaven betaalverzoek'!$A:$A,Keuze_DB_Nr_BEO)</f>
        <v>0</v>
      </c>
      <c r="T73" s="116" t="str">
        <f>IF($C73&lt;&gt;"",SUMIFS('8. Uitgaven betaalverzoek'!$W:$W,'8. Uitgaven betaalverzoek'!$E:$E,$A73,'8. Uitgaven betaalverzoek'!$F:$F,$B73,'8. Uitgaven betaalverzoek'!$A:$A,Keuze_DB_Nr_BEO),"")</f>
        <v/>
      </c>
      <c r="U73" s="116" t="str">
        <f>IF($C73&lt;&gt;"",SUMIFS('8. Uitgaven betaalverzoek'!$X:$X,'8. Uitgaven betaalverzoek'!$E:$E,$A73,'8. Uitgaven betaalverzoek'!$F:$F,$B73,'8. Uitgaven betaalverzoek'!$A:$A,Keuze_DB_Nr_BEO),"")</f>
        <v/>
      </c>
      <c r="V73" s="116">
        <f t="shared" si="7"/>
        <v>0</v>
      </c>
      <c r="W73" s="116">
        <f t="shared" si="8"/>
        <v>0</v>
      </c>
    </row>
    <row r="74" spans="1:23" x14ac:dyDescent="0.25">
      <c r="A74" s="78"/>
      <c r="B74" s="78"/>
      <c r="C74" s="105" t="str" cm="1">
        <f t="array" ref="C74">IFERROR(INDEX(Tb_KostenOpties[],MATCH(B74,Tb_KostenOptiesDB[KostenOptie],0),IFERROR(MATCH(Methode_Keuze,Tb_KostenOptiesDB[#Headers],0),2)),"")</f>
        <v/>
      </c>
      <c r="D74" s="117">
        <f>IFERROR(INDEX(Tb_ProjectKosten[],MATCH($B74,Tb_ProjectKosten[Begroting],0),6),0)</f>
        <v>0</v>
      </c>
      <c r="E74" s="115">
        <f>SUMIFS('8. Uitgaven betaalverzoek'!$U:$U,'8. Uitgaven betaalverzoek'!$E:$E,$A74,'8. Uitgaven betaalverzoek'!$F:$F,$B74)</f>
        <v>0</v>
      </c>
      <c r="F74" s="115">
        <f>SUMIFS('8. Uitgaven betaalverzoek'!$V:$V,'8. Uitgaven betaalverzoek'!$E:$E,$A74,'8. Uitgaven betaalverzoek'!$F:$F,$B74)</f>
        <v>0</v>
      </c>
      <c r="G74" s="115" t="str">
        <f>IF(C74&lt;&gt;"",SUMIFS('8. Uitgaven betaalverzoek'!$W:$W,'8. Uitgaven betaalverzoek'!$E:$E,$A74,'8. Uitgaven betaalverzoek'!$F:$F,$B74),"")</f>
        <v/>
      </c>
      <c r="H74" s="115" t="str">
        <f>IF(C74&lt;&gt;"",SUMIFS('8. Uitgaven betaalverzoek'!$X:$X,'8. Uitgaven betaalverzoek'!$E:$E,$A74,'8. Uitgaven betaalverzoek'!$F:$F,$B74),"")</f>
        <v/>
      </c>
      <c r="I74" s="117" t="str">
        <f>IFERROR(VLOOKUP(A74,Lijsten!$AD:$AE,2,0),"")</f>
        <v/>
      </c>
      <c r="J74" s="115">
        <f t="shared" si="9"/>
        <v>0</v>
      </c>
      <c r="K74" s="115">
        <f t="shared" si="9"/>
        <v>0</v>
      </c>
      <c r="L74" s="115">
        <f>SUMIFS('8. Uitgaven betaalverzoek'!$U:$U,'8. Uitgaven betaalverzoek'!$E:$E,$A74,'8. Uitgaven betaalverzoek'!$F:$F,$B74,'8. Uitgaven betaalverzoek'!$A:$A,Keuze_DB_Nr)</f>
        <v>0</v>
      </c>
      <c r="M74" s="115">
        <f>SUMIFS('8. Uitgaven betaalverzoek'!$V:$V,'8. Uitgaven betaalverzoek'!$E:$E,$A74,'8. Uitgaven betaalverzoek'!$F:$F,$B74,'8. Uitgaven betaalverzoek'!$A:$A,Keuze_DB_Nr)</f>
        <v>0</v>
      </c>
      <c r="N74" s="115" t="str">
        <f>IF($C74&lt;&gt;"",SUMIFS('8. Uitgaven betaalverzoek'!$W:$W,'8. Uitgaven betaalverzoek'!$E:$E,$A74,'8. Uitgaven betaalverzoek'!$F:$F,$B74,'8. Uitgaven betaalverzoek'!$A:$A,Keuze_DB_Nr),"")</f>
        <v/>
      </c>
      <c r="O74" s="115" t="str">
        <f>IF($C74&lt;&gt;"",SUMIFS('8. Uitgaven betaalverzoek'!$X:$X,'8. Uitgaven betaalverzoek'!$E:$E,$A74,'8. Uitgaven betaalverzoek'!$F:$F,$B74,'8. Uitgaven betaalverzoek'!$A:$A,Keuze_DB_Nr),"")</f>
        <v/>
      </c>
      <c r="P74" s="115">
        <f t="shared" si="10"/>
        <v>0</v>
      </c>
      <c r="Q74" s="115">
        <f t="shared" si="11"/>
        <v>0</v>
      </c>
      <c r="R74" s="115">
        <f>SUMIFS('8. Uitgaven betaalverzoek'!$U:$U,'8. Uitgaven betaalverzoek'!$E:$E,$A74,'8. Uitgaven betaalverzoek'!$F:$F,$B74,'8. Uitgaven betaalverzoek'!$A:$A,Keuze_DB_Nr_BEO)</f>
        <v>0</v>
      </c>
      <c r="S74" s="115">
        <f>SUMIFS('8. Uitgaven betaalverzoek'!$V:$V,'8. Uitgaven betaalverzoek'!$E:$E,$A74,'8. Uitgaven betaalverzoek'!$F:$F,$B74,'8. Uitgaven betaalverzoek'!$A:$A,Keuze_DB_Nr_BEO)</f>
        <v>0</v>
      </c>
      <c r="T74" s="115" t="str">
        <f>IF($C74&lt;&gt;"",SUMIFS('8. Uitgaven betaalverzoek'!$W:$W,'8. Uitgaven betaalverzoek'!$E:$E,$A74,'8. Uitgaven betaalverzoek'!$F:$F,$B74,'8. Uitgaven betaalverzoek'!$A:$A,Keuze_DB_Nr_BEO),"")</f>
        <v/>
      </c>
      <c r="U74" s="115" t="str">
        <f>IF($C74&lt;&gt;"",SUMIFS('8. Uitgaven betaalverzoek'!$X:$X,'8. Uitgaven betaalverzoek'!$E:$E,$A74,'8. Uitgaven betaalverzoek'!$F:$F,$B74,'8. Uitgaven betaalverzoek'!$A:$A,Keuze_DB_Nr_BEO),"")</f>
        <v/>
      </c>
      <c r="V74" s="115">
        <f t="shared" si="7"/>
        <v>0</v>
      </c>
      <c r="W74" s="115">
        <f t="shared" si="8"/>
        <v>0</v>
      </c>
    </row>
    <row r="75" spans="1:23" x14ac:dyDescent="0.25">
      <c r="A75" s="18"/>
      <c r="B75" s="18"/>
      <c r="C75" s="106" t="str" cm="1">
        <f t="array" ref="C75">IFERROR(INDEX(Tb_KostenOpties[],MATCH(B75,Tb_KostenOptiesDB[KostenOptie],0),IFERROR(MATCH(Methode_Keuze,Tb_KostenOptiesDB[#Headers],0),2)),"")</f>
        <v/>
      </c>
      <c r="D75" s="118">
        <f>IFERROR(INDEX(Tb_ProjectKosten[],MATCH($B75,Tb_ProjectKosten[Begroting],0),6),0)</f>
        <v>0</v>
      </c>
      <c r="E75" s="116">
        <f>SUMIFS('8. Uitgaven betaalverzoek'!$U:$U,'8. Uitgaven betaalverzoek'!$E:$E,$A75,'8. Uitgaven betaalverzoek'!$F:$F,$B75)</f>
        <v>0</v>
      </c>
      <c r="F75" s="116">
        <f>SUMIFS('8. Uitgaven betaalverzoek'!$V:$V,'8. Uitgaven betaalverzoek'!$E:$E,$A75,'8. Uitgaven betaalverzoek'!$F:$F,$B75)</f>
        <v>0</v>
      </c>
      <c r="G75" s="116" t="str">
        <f>IF(C75&lt;&gt;"",SUMIFS('8. Uitgaven betaalverzoek'!$W:$W,'8. Uitgaven betaalverzoek'!$E:$E,$A75,'8. Uitgaven betaalverzoek'!$F:$F,$B75),"")</f>
        <v/>
      </c>
      <c r="H75" s="116" t="str">
        <f>IF(C75&lt;&gt;"",SUMIFS('8. Uitgaven betaalverzoek'!$X:$X,'8. Uitgaven betaalverzoek'!$E:$E,$A75,'8. Uitgaven betaalverzoek'!$F:$F,$B75),"")</f>
        <v/>
      </c>
      <c r="I75" s="118" t="str">
        <f>IFERROR(VLOOKUP(A75,Lijsten!$AD:$AE,2,0),"")</f>
        <v/>
      </c>
      <c r="J75" s="116">
        <f t="shared" si="9"/>
        <v>0</v>
      </c>
      <c r="K75" s="116">
        <f t="shared" si="9"/>
        <v>0</v>
      </c>
      <c r="L75" s="116">
        <f>SUMIFS('8. Uitgaven betaalverzoek'!$U:$U,'8. Uitgaven betaalverzoek'!$E:$E,$A75,'8. Uitgaven betaalverzoek'!$F:$F,$B75,'8. Uitgaven betaalverzoek'!$A:$A,Keuze_DB_Nr)</f>
        <v>0</v>
      </c>
      <c r="M75" s="116">
        <f>SUMIFS('8. Uitgaven betaalverzoek'!$V:$V,'8. Uitgaven betaalverzoek'!$E:$E,$A75,'8. Uitgaven betaalverzoek'!$F:$F,$B75,'8. Uitgaven betaalverzoek'!$A:$A,Keuze_DB_Nr)</f>
        <v>0</v>
      </c>
      <c r="N75" s="116" t="str">
        <f>IF($C75&lt;&gt;"",SUMIFS('8. Uitgaven betaalverzoek'!$W:$W,'8. Uitgaven betaalverzoek'!$E:$E,$A75,'8. Uitgaven betaalverzoek'!$F:$F,$B75,'8. Uitgaven betaalverzoek'!$A:$A,Keuze_DB_Nr),"")</f>
        <v/>
      </c>
      <c r="O75" s="116" t="str">
        <f>IF($C75&lt;&gt;"",SUMIFS('8. Uitgaven betaalverzoek'!$X:$X,'8. Uitgaven betaalverzoek'!$E:$E,$A75,'8. Uitgaven betaalverzoek'!$F:$F,$B75,'8. Uitgaven betaalverzoek'!$A:$A,Keuze_DB_Nr),"")</f>
        <v/>
      </c>
      <c r="P75" s="116">
        <f t="shared" si="10"/>
        <v>0</v>
      </c>
      <c r="Q75" s="116">
        <f t="shared" si="11"/>
        <v>0</v>
      </c>
      <c r="R75" s="116">
        <f>SUMIFS('8. Uitgaven betaalverzoek'!$U:$U,'8. Uitgaven betaalverzoek'!$E:$E,$A75,'8. Uitgaven betaalverzoek'!$F:$F,$B75,'8. Uitgaven betaalverzoek'!$A:$A,Keuze_DB_Nr_BEO)</f>
        <v>0</v>
      </c>
      <c r="S75" s="116">
        <f>SUMIFS('8. Uitgaven betaalverzoek'!$V:$V,'8. Uitgaven betaalverzoek'!$E:$E,$A75,'8. Uitgaven betaalverzoek'!$F:$F,$B75,'8. Uitgaven betaalverzoek'!$A:$A,Keuze_DB_Nr_BEO)</f>
        <v>0</v>
      </c>
      <c r="T75" s="116" t="str">
        <f>IF($C75&lt;&gt;"",SUMIFS('8. Uitgaven betaalverzoek'!$W:$W,'8. Uitgaven betaalverzoek'!$E:$E,$A75,'8. Uitgaven betaalverzoek'!$F:$F,$B75,'8. Uitgaven betaalverzoek'!$A:$A,Keuze_DB_Nr_BEO),"")</f>
        <v/>
      </c>
      <c r="U75" s="116" t="str">
        <f>IF($C75&lt;&gt;"",SUMIFS('8. Uitgaven betaalverzoek'!$X:$X,'8. Uitgaven betaalverzoek'!$E:$E,$A75,'8. Uitgaven betaalverzoek'!$F:$F,$B75,'8. Uitgaven betaalverzoek'!$A:$A,Keuze_DB_Nr_BEO),"")</f>
        <v/>
      </c>
      <c r="V75" s="116">
        <f t="shared" si="7"/>
        <v>0</v>
      </c>
      <c r="W75" s="116">
        <f t="shared" si="8"/>
        <v>0</v>
      </c>
    </row>
    <row r="76" spans="1:23" x14ac:dyDescent="0.25">
      <c r="A76" s="78"/>
      <c r="B76" s="78"/>
      <c r="C76" s="105" t="str" cm="1">
        <f t="array" ref="C76">IFERROR(INDEX(Tb_KostenOpties[],MATCH(B76,Tb_KostenOptiesDB[KostenOptie],0),IFERROR(MATCH(Methode_Keuze,Tb_KostenOptiesDB[#Headers],0),2)),"")</f>
        <v/>
      </c>
      <c r="D76" s="117">
        <f>IFERROR(INDEX(Tb_ProjectKosten[],MATCH($B76,Tb_ProjectKosten[Begroting],0),6),0)</f>
        <v>0</v>
      </c>
      <c r="E76" s="115">
        <f>SUMIFS('8. Uitgaven betaalverzoek'!$U:$U,'8. Uitgaven betaalverzoek'!$E:$E,$A76,'8. Uitgaven betaalverzoek'!$F:$F,$B76)</f>
        <v>0</v>
      </c>
      <c r="F76" s="115">
        <f>SUMIFS('8. Uitgaven betaalverzoek'!$V:$V,'8. Uitgaven betaalverzoek'!$E:$E,$A76,'8. Uitgaven betaalverzoek'!$F:$F,$B76)</f>
        <v>0</v>
      </c>
      <c r="G76" s="115" t="str">
        <f>IF(C76&lt;&gt;"",SUMIFS('8. Uitgaven betaalverzoek'!$W:$W,'8. Uitgaven betaalverzoek'!$E:$E,$A76,'8. Uitgaven betaalverzoek'!$F:$F,$B76),"")</f>
        <v/>
      </c>
      <c r="H76" s="115" t="str">
        <f>IF(C76&lt;&gt;"",SUMIFS('8. Uitgaven betaalverzoek'!$X:$X,'8. Uitgaven betaalverzoek'!$E:$E,$A76,'8. Uitgaven betaalverzoek'!$F:$F,$B76),"")</f>
        <v/>
      </c>
      <c r="I76" s="117" t="str">
        <f>IFERROR(VLOOKUP(A76,Lijsten!$AD:$AE,2,0),"")</f>
        <v/>
      </c>
      <c r="J76" s="115">
        <f t="shared" si="9"/>
        <v>0</v>
      </c>
      <c r="K76" s="115">
        <f t="shared" si="9"/>
        <v>0</v>
      </c>
      <c r="L76" s="115">
        <f>SUMIFS('8. Uitgaven betaalverzoek'!$U:$U,'8. Uitgaven betaalverzoek'!$E:$E,$A76,'8. Uitgaven betaalverzoek'!$F:$F,$B76,'8. Uitgaven betaalverzoek'!$A:$A,Keuze_DB_Nr)</f>
        <v>0</v>
      </c>
      <c r="M76" s="115">
        <f>SUMIFS('8. Uitgaven betaalverzoek'!$V:$V,'8. Uitgaven betaalverzoek'!$E:$E,$A76,'8. Uitgaven betaalverzoek'!$F:$F,$B76,'8. Uitgaven betaalverzoek'!$A:$A,Keuze_DB_Nr)</f>
        <v>0</v>
      </c>
      <c r="N76" s="115" t="str">
        <f>IF($C76&lt;&gt;"",SUMIFS('8. Uitgaven betaalverzoek'!$W:$W,'8. Uitgaven betaalverzoek'!$E:$E,$A76,'8. Uitgaven betaalverzoek'!$F:$F,$B76,'8. Uitgaven betaalverzoek'!$A:$A,Keuze_DB_Nr),"")</f>
        <v/>
      </c>
      <c r="O76" s="115" t="str">
        <f>IF($C76&lt;&gt;"",SUMIFS('8. Uitgaven betaalverzoek'!$X:$X,'8. Uitgaven betaalverzoek'!$E:$E,$A76,'8. Uitgaven betaalverzoek'!$F:$F,$B76,'8. Uitgaven betaalverzoek'!$A:$A,Keuze_DB_Nr),"")</f>
        <v/>
      </c>
      <c r="P76" s="115">
        <f t="shared" si="10"/>
        <v>0</v>
      </c>
      <c r="Q76" s="115">
        <f t="shared" si="11"/>
        <v>0</v>
      </c>
      <c r="R76" s="115">
        <f>SUMIFS('8. Uitgaven betaalverzoek'!$U:$U,'8. Uitgaven betaalverzoek'!$E:$E,$A76,'8. Uitgaven betaalverzoek'!$F:$F,$B76,'8. Uitgaven betaalverzoek'!$A:$A,Keuze_DB_Nr_BEO)</f>
        <v>0</v>
      </c>
      <c r="S76" s="115">
        <f>SUMIFS('8. Uitgaven betaalverzoek'!$V:$V,'8. Uitgaven betaalverzoek'!$E:$E,$A76,'8. Uitgaven betaalverzoek'!$F:$F,$B76,'8. Uitgaven betaalverzoek'!$A:$A,Keuze_DB_Nr_BEO)</f>
        <v>0</v>
      </c>
      <c r="T76" s="115" t="str">
        <f>IF($C76&lt;&gt;"",SUMIFS('8. Uitgaven betaalverzoek'!$W:$W,'8. Uitgaven betaalverzoek'!$E:$E,$A76,'8. Uitgaven betaalverzoek'!$F:$F,$B76,'8. Uitgaven betaalverzoek'!$A:$A,Keuze_DB_Nr_BEO),"")</f>
        <v/>
      </c>
      <c r="U76" s="115" t="str">
        <f>IF($C76&lt;&gt;"",SUMIFS('8. Uitgaven betaalverzoek'!$X:$X,'8. Uitgaven betaalverzoek'!$E:$E,$A76,'8. Uitgaven betaalverzoek'!$F:$F,$B76,'8. Uitgaven betaalverzoek'!$A:$A,Keuze_DB_Nr_BEO),"")</f>
        <v/>
      </c>
      <c r="V76" s="115">
        <f t="shared" si="7"/>
        <v>0</v>
      </c>
      <c r="W76" s="115">
        <f t="shared" si="8"/>
        <v>0</v>
      </c>
    </row>
    <row r="77" spans="1:23" x14ac:dyDescent="0.25">
      <c r="A77" s="18"/>
      <c r="B77" s="18"/>
      <c r="C77" s="106" t="str" cm="1">
        <f t="array" ref="C77">IFERROR(INDEX(Tb_KostenOpties[],MATCH(B77,Tb_KostenOptiesDB[KostenOptie],0),IFERROR(MATCH(Methode_Keuze,Tb_KostenOptiesDB[#Headers],0),2)),"")</f>
        <v/>
      </c>
      <c r="D77" s="118">
        <f>IFERROR(INDEX(Tb_ProjectKosten[],MATCH($B77,Tb_ProjectKosten[Begroting],0),6),0)</f>
        <v>0</v>
      </c>
      <c r="E77" s="116">
        <f>SUMIFS('8. Uitgaven betaalverzoek'!$U:$U,'8. Uitgaven betaalverzoek'!$E:$E,$A77,'8. Uitgaven betaalverzoek'!$F:$F,$B77)</f>
        <v>0</v>
      </c>
      <c r="F77" s="116">
        <f>SUMIFS('8. Uitgaven betaalverzoek'!$V:$V,'8. Uitgaven betaalverzoek'!$E:$E,$A77,'8. Uitgaven betaalverzoek'!$F:$F,$B77)</f>
        <v>0</v>
      </c>
      <c r="G77" s="116" t="str">
        <f>IF(C77&lt;&gt;"",SUMIFS('8. Uitgaven betaalverzoek'!$W:$W,'8. Uitgaven betaalverzoek'!$E:$E,$A77,'8. Uitgaven betaalverzoek'!$F:$F,$B77),"")</f>
        <v/>
      </c>
      <c r="H77" s="116" t="str">
        <f>IF(C77&lt;&gt;"",SUMIFS('8. Uitgaven betaalverzoek'!$X:$X,'8. Uitgaven betaalverzoek'!$E:$E,$A77,'8. Uitgaven betaalverzoek'!$F:$F,$B77),"")</f>
        <v/>
      </c>
      <c r="I77" s="118" t="str">
        <f>IFERROR(VLOOKUP(A77,Lijsten!$AD:$AE,2,0),"")</f>
        <v/>
      </c>
      <c r="J77" s="116">
        <f t="shared" si="9"/>
        <v>0</v>
      </c>
      <c r="K77" s="116">
        <f t="shared" si="9"/>
        <v>0</v>
      </c>
      <c r="L77" s="116">
        <f>SUMIFS('8. Uitgaven betaalverzoek'!$U:$U,'8. Uitgaven betaalverzoek'!$E:$E,$A77,'8. Uitgaven betaalverzoek'!$F:$F,$B77,'8. Uitgaven betaalverzoek'!$A:$A,Keuze_DB_Nr)</f>
        <v>0</v>
      </c>
      <c r="M77" s="116">
        <f>SUMIFS('8. Uitgaven betaalverzoek'!$V:$V,'8. Uitgaven betaalverzoek'!$E:$E,$A77,'8. Uitgaven betaalverzoek'!$F:$F,$B77,'8. Uitgaven betaalverzoek'!$A:$A,Keuze_DB_Nr)</f>
        <v>0</v>
      </c>
      <c r="N77" s="116" t="str">
        <f>IF($C77&lt;&gt;"",SUMIFS('8. Uitgaven betaalverzoek'!$W:$W,'8. Uitgaven betaalverzoek'!$E:$E,$A77,'8. Uitgaven betaalverzoek'!$F:$F,$B77,'8. Uitgaven betaalverzoek'!$A:$A,Keuze_DB_Nr),"")</f>
        <v/>
      </c>
      <c r="O77" s="116" t="str">
        <f>IF($C77&lt;&gt;"",SUMIFS('8. Uitgaven betaalverzoek'!$X:$X,'8. Uitgaven betaalverzoek'!$E:$E,$A77,'8. Uitgaven betaalverzoek'!$F:$F,$B77,'8. Uitgaven betaalverzoek'!$A:$A,Keuze_DB_Nr),"")</f>
        <v/>
      </c>
      <c r="P77" s="116">
        <f t="shared" si="10"/>
        <v>0</v>
      </c>
      <c r="Q77" s="116">
        <f t="shared" si="11"/>
        <v>0</v>
      </c>
      <c r="R77" s="116">
        <f>SUMIFS('8. Uitgaven betaalverzoek'!$U:$U,'8. Uitgaven betaalverzoek'!$E:$E,$A77,'8. Uitgaven betaalverzoek'!$F:$F,$B77,'8. Uitgaven betaalverzoek'!$A:$A,Keuze_DB_Nr_BEO)</f>
        <v>0</v>
      </c>
      <c r="S77" s="116">
        <f>SUMIFS('8. Uitgaven betaalverzoek'!$V:$V,'8. Uitgaven betaalverzoek'!$E:$E,$A77,'8. Uitgaven betaalverzoek'!$F:$F,$B77,'8. Uitgaven betaalverzoek'!$A:$A,Keuze_DB_Nr_BEO)</f>
        <v>0</v>
      </c>
      <c r="T77" s="116" t="str">
        <f>IF($C77&lt;&gt;"",SUMIFS('8. Uitgaven betaalverzoek'!$W:$W,'8. Uitgaven betaalverzoek'!$E:$E,$A77,'8. Uitgaven betaalverzoek'!$F:$F,$B77,'8. Uitgaven betaalverzoek'!$A:$A,Keuze_DB_Nr_BEO),"")</f>
        <v/>
      </c>
      <c r="U77" s="116" t="str">
        <f>IF($C77&lt;&gt;"",SUMIFS('8. Uitgaven betaalverzoek'!$X:$X,'8. Uitgaven betaalverzoek'!$E:$E,$A77,'8. Uitgaven betaalverzoek'!$F:$F,$B77,'8. Uitgaven betaalverzoek'!$A:$A,Keuze_DB_Nr_BEO),"")</f>
        <v/>
      </c>
      <c r="V77" s="116">
        <f t="shared" si="7"/>
        <v>0</v>
      </c>
      <c r="W77" s="116">
        <f t="shared" si="8"/>
        <v>0</v>
      </c>
    </row>
    <row r="78" spans="1:23" x14ac:dyDescent="0.25">
      <c r="A78" s="78"/>
      <c r="B78" s="78"/>
      <c r="C78" s="105" t="str" cm="1">
        <f t="array" ref="C78">IFERROR(INDEX(Tb_KostenOpties[],MATCH(B78,Tb_KostenOptiesDB[KostenOptie],0),IFERROR(MATCH(Methode_Keuze,Tb_KostenOptiesDB[#Headers],0),2)),"")</f>
        <v/>
      </c>
      <c r="D78" s="117">
        <f>IFERROR(INDEX(Tb_ProjectKosten[],MATCH($B78,Tb_ProjectKosten[Begroting],0),6),0)</f>
        <v>0</v>
      </c>
      <c r="E78" s="115">
        <f>SUMIFS('8. Uitgaven betaalverzoek'!$U:$U,'8. Uitgaven betaalverzoek'!$E:$E,$A78,'8. Uitgaven betaalverzoek'!$F:$F,$B78)</f>
        <v>0</v>
      </c>
      <c r="F78" s="115">
        <f>SUMIFS('8. Uitgaven betaalverzoek'!$V:$V,'8. Uitgaven betaalverzoek'!$E:$E,$A78,'8. Uitgaven betaalverzoek'!$F:$F,$B78)</f>
        <v>0</v>
      </c>
      <c r="G78" s="115" t="str">
        <f>IF(C78&lt;&gt;"",SUMIFS('8. Uitgaven betaalverzoek'!$W:$W,'8. Uitgaven betaalverzoek'!$E:$E,$A78,'8. Uitgaven betaalverzoek'!$F:$F,$B78),"")</f>
        <v/>
      </c>
      <c r="H78" s="115" t="str">
        <f>IF(C78&lt;&gt;"",SUMIFS('8. Uitgaven betaalverzoek'!$X:$X,'8. Uitgaven betaalverzoek'!$E:$E,$A78,'8. Uitgaven betaalverzoek'!$F:$F,$B78),"")</f>
        <v/>
      </c>
      <c r="I78" s="117" t="str">
        <f>IFERROR(VLOOKUP(A78,Lijsten!$AD:$AE,2,0),"")</f>
        <v/>
      </c>
      <c r="J78" s="115">
        <f t="shared" si="9"/>
        <v>0</v>
      </c>
      <c r="K78" s="115">
        <f t="shared" si="9"/>
        <v>0</v>
      </c>
      <c r="L78" s="115">
        <f>SUMIFS('8. Uitgaven betaalverzoek'!$U:$U,'8. Uitgaven betaalverzoek'!$E:$E,$A78,'8. Uitgaven betaalverzoek'!$F:$F,$B78,'8. Uitgaven betaalverzoek'!$A:$A,Keuze_DB_Nr)</f>
        <v>0</v>
      </c>
      <c r="M78" s="115">
        <f>SUMIFS('8. Uitgaven betaalverzoek'!$V:$V,'8. Uitgaven betaalverzoek'!$E:$E,$A78,'8. Uitgaven betaalverzoek'!$F:$F,$B78,'8. Uitgaven betaalverzoek'!$A:$A,Keuze_DB_Nr)</f>
        <v>0</v>
      </c>
      <c r="N78" s="115" t="str">
        <f>IF($C78&lt;&gt;"",SUMIFS('8. Uitgaven betaalverzoek'!$W:$W,'8. Uitgaven betaalverzoek'!$E:$E,$A78,'8. Uitgaven betaalverzoek'!$F:$F,$B78,'8. Uitgaven betaalverzoek'!$A:$A,Keuze_DB_Nr),"")</f>
        <v/>
      </c>
      <c r="O78" s="115" t="str">
        <f>IF($C78&lt;&gt;"",SUMIFS('8. Uitgaven betaalverzoek'!$X:$X,'8. Uitgaven betaalverzoek'!$E:$E,$A78,'8. Uitgaven betaalverzoek'!$F:$F,$B78,'8. Uitgaven betaalverzoek'!$A:$A,Keuze_DB_Nr),"")</f>
        <v/>
      </c>
      <c r="P78" s="115">
        <f t="shared" si="10"/>
        <v>0</v>
      </c>
      <c r="Q78" s="115">
        <f t="shared" si="11"/>
        <v>0</v>
      </c>
      <c r="R78" s="115">
        <f>SUMIFS('8. Uitgaven betaalverzoek'!$U:$U,'8. Uitgaven betaalverzoek'!$E:$E,$A78,'8. Uitgaven betaalverzoek'!$F:$F,$B78,'8. Uitgaven betaalverzoek'!$A:$A,Keuze_DB_Nr_BEO)</f>
        <v>0</v>
      </c>
      <c r="S78" s="115">
        <f>SUMIFS('8. Uitgaven betaalverzoek'!$V:$V,'8. Uitgaven betaalverzoek'!$E:$E,$A78,'8. Uitgaven betaalverzoek'!$F:$F,$B78,'8. Uitgaven betaalverzoek'!$A:$A,Keuze_DB_Nr_BEO)</f>
        <v>0</v>
      </c>
      <c r="T78" s="115" t="str">
        <f>IF($C78&lt;&gt;"",SUMIFS('8. Uitgaven betaalverzoek'!$W:$W,'8. Uitgaven betaalverzoek'!$E:$E,$A78,'8. Uitgaven betaalverzoek'!$F:$F,$B78,'8. Uitgaven betaalverzoek'!$A:$A,Keuze_DB_Nr_BEO),"")</f>
        <v/>
      </c>
      <c r="U78" s="115" t="str">
        <f>IF($C78&lt;&gt;"",SUMIFS('8. Uitgaven betaalverzoek'!$X:$X,'8. Uitgaven betaalverzoek'!$E:$E,$A78,'8. Uitgaven betaalverzoek'!$F:$F,$B78,'8. Uitgaven betaalverzoek'!$A:$A,Keuze_DB_Nr_BEO),"")</f>
        <v/>
      </c>
      <c r="V78" s="115">
        <f t="shared" si="7"/>
        <v>0</v>
      </c>
      <c r="W78" s="115">
        <f t="shared" si="8"/>
        <v>0</v>
      </c>
    </row>
    <row r="79" spans="1:23" x14ac:dyDescent="0.25">
      <c r="A79" s="18"/>
      <c r="B79" s="18"/>
      <c r="C79" s="106" t="str" cm="1">
        <f t="array" ref="C79">IFERROR(INDEX(Tb_KostenOpties[],MATCH(B79,Tb_KostenOptiesDB[KostenOptie],0),IFERROR(MATCH(Methode_Keuze,Tb_KostenOptiesDB[#Headers],0),2)),"")</f>
        <v/>
      </c>
      <c r="D79" s="118">
        <f>IFERROR(INDEX(Tb_ProjectKosten[],MATCH($B79,Tb_ProjectKosten[Begroting],0),6),0)</f>
        <v>0</v>
      </c>
      <c r="E79" s="116">
        <f>SUMIFS('8. Uitgaven betaalverzoek'!$U:$U,'8. Uitgaven betaalverzoek'!$E:$E,$A79,'8. Uitgaven betaalverzoek'!$F:$F,$B79)</f>
        <v>0</v>
      </c>
      <c r="F79" s="116">
        <f>SUMIFS('8. Uitgaven betaalverzoek'!$V:$V,'8. Uitgaven betaalverzoek'!$E:$E,$A79,'8. Uitgaven betaalverzoek'!$F:$F,$B79)</f>
        <v>0</v>
      </c>
      <c r="G79" s="116" t="str">
        <f>IF(C79&lt;&gt;"",SUMIFS('8. Uitgaven betaalverzoek'!$W:$W,'8. Uitgaven betaalverzoek'!$E:$E,$A79,'8. Uitgaven betaalverzoek'!$F:$F,$B79),"")</f>
        <v/>
      </c>
      <c r="H79" s="116" t="str">
        <f>IF(C79&lt;&gt;"",SUMIFS('8. Uitgaven betaalverzoek'!$X:$X,'8. Uitgaven betaalverzoek'!$E:$E,$A79,'8. Uitgaven betaalverzoek'!$F:$F,$B79),"")</f>
        <v/>
      </c>
      <c r="I79" s="118" t="str">
        <f>IFERROR(VLOOKUP(A79,Lijsten!$AD:$AE,2,0),"")</f>
        <v/>
      </c>
      <c r="J79" s="116">
        <f t="shared" si="9"/>
        <v>0</v>
      </c>
      <c r="K79" s="116">
        <f t="shared" si="9"/>
        <v>0</v>
      </c>
      <c r="L79" s="116">
        <f>SUMIFS('8. Uitgaven betaalverzoek'!$U:$U,'8. Uitgaven betaalverzoek'!$E:$E,$A79,'8. Uitgaven betaalverzoek'!$F:$F,$B79,'8. Uitgaven betaalverzoek'!$A:$A,Keuze_DB_Nr)</f>
        <v>0</v>
      </c>
      <c r="M79" s="116">
        <f>SUMIFS('8. Uitgaven betaalverzoek'!$V:$V,'8. Uitgaven betaalverzoek'!$E:$E,$A79,'8. Uitgaven betaalverzoek'!$F:$F,$B79,'8. Uitgaven betaalverzoek'!$A:$A,Keuze_DB_Nr)</f>
        <v>0</v>
      </c>
      <c r="N79" s="116" t="str">
        <f>IF($C79&lt;&gt;"",SUMIFS('8. Uitgaven betaalverzoek'!$W:$W,'8. Uitgaven betaalverzoek'!$E:$E,$A79,'8. Uitgaven betaalverzoek'!$F:$F,$B79,'8. Uitgaven betaalverzoek'!$A:$A,Keuze_DB_Nr),"")</f>
        <v/>
      </c>
      <c r="O79" s="116" t="str">
        <f>IF($C79&lt;&gt;"",SUMIFS('8. Uitgaven betaalverzoek'!$X:$X,'8. Uitgaven betaalverzoek'!$E:$E,$A79,'8. Uitgaven betaalverzoek'!$F:$F,$B79,'8. Uitgaven betaalverzoek'!$A:$A,Keuze_DB_Nr),"")</f>
        <v/>
      </c>
      <c r="P79" s="116">
        <f t="shared" si="10"/>
        <v>0</v>
      </c>
      <c r="Q79" s="116">
        <f t="shared" si="11"/>
        <v>0</v>
      </c>
      <c r="R79" s="116">
        <f>SUMIFS('8. Uitgaven betaalverzoek'!$U:$U,'8. Uitgaven betaalverzoek'!$E:$E,$A79,'8. Uitgaven betaalverzoek'!$F:$F,$B79,'8. Uitgaven betaalverzoek'!$A:$A,Keuze_DB_Nr_BEO)</f>
        <v>0</v>
      </c>
      <c r="S79" s="116">
        <f>SUMIFS('8. Uitgaven betaalverzoek'!$V:$V,'8. Uitgaven betaalverzoek'!$E:$E,$A79,'8. Uitgaven betaalverzoek'!$F:$F,$B79,'8. Uitgaven betaalverzoek'!$A:$A,Keuze_DB_Nr_BEO)</f>
        <v>0</v>
      </c>
      <c r="T79" s="116" t="str">
        <f>IF($C79&lt;&gt;"",SUMIFS('8. Uitgaven betaalverzoek'!$W:$W,'8. Uitgaven betaalverzoek'!$E:$E,$A79,'8. Uitgaven betaalverzoek'!$F:$F,$B79,'8. Uitgaven betaalverzoek'!$A:$A,Keuze_DB_Nr_BEO),"")</f>
        <v/>
      </c>
      <c r="U79" s="116" t="str">
        <f>IF($C79&lt;&gt;"",SUMIFS('8. Uitgaven betaalverzoek'!$X:$X,'8. Uitgaven betaalverzoek'!$E:$E,$A79,'8. Uitgaven betaalverzoek'!$F:$F,$B79,'8. Uitgaven betaalverzoek'!$A:$A,Keuze_DB_Nr_BEO),"")</f>
        <v/>
      </c>
      <c r="V79" s="116">
        <f t="shared" si="7"/>
        <v>0</v>
      </c>
      <c r="W79" s="116">
        <f t="shared" si="8"/>
        <v>0</v>
      </c>
    </row>
    <row r="80" spans="1:23" x14ac:dyDescent="0.25">
      <c r="A80" s="78"/>
      <c r="B80" s="78"/>
      <c r="C80" s="105" t="str" cm="1">
        <f t="array" ref="C80">IFERROR(INDEX(Tb_KostenOpties[],MATCH(B80,Tb_KostenOptiesDB[KostenOptie],0),IFERROR(MATCH(Methode_Keuze,Tb_KostenOptiesDB[#Headers],0),2)),"")</f>
        <v/>
      </c>
      <c r="D80" s="117">
        <f>IFERROR(INDEX(Tb_ProjectKosten[],MATCH($B80,Tb_ProjectKosten[Begroting],0),6),0)</f>
        <v>0</v>
      </c>
      <c r="E80" s="115">
        <f>SUMIFS('8. Uitgaven betaalverzoek'!$U:$U,'8. Uitgaven betaalverzoek'!$E:$E,$A80,'8. Uitgaven betaalverzoek'!$F:$F,$B80)</f>
        <v>0</v>
      </c>
      <c r="F80" s="115">
        <f>SUMIFS('8. Uitgaven betaalverzoek'!$V:$V,'8. Uitgaven betaalverzoek'!$E:$E,$A80,'8. Uitgaven betaalverzoek'!$F:$F,$B80)</f>
        <v>0</v>
      </c>
      <c r="G80" s="115" t="str">
        <f>IF(C80&lt;&gt;"",SUMIFS('8. Uitgaven betaalverzoek'!$W:$W,'8. Uitgaven betaalverzoek'!$E:$E,$A80,'8. Uitgaven betaalverzoek'!$F:$F,$B80),"")</f>
        <v/>
      </c>
      <c r="H80" s="115" t="str">
        <f>IF(C80&lt;&gt;"",SUMIFS('8. Uitgaven betaalverzoek'!$X:$X,'8. Uitgaven betaalverzoek'!$E:$E,$A80,'8. Uitgaven betaalverzoek'!$F:$F,$B80),"")</f>
        <v/>
      </c>
      <c r="I80" s="117" t="str">
        <f>IFERROR(VLOOKUP(A80,Lijsten!$AD:$AE,2,0),"")</f>
        <v/>
      </c>
      <c r="J80" s="115">
        <f t="shared" si="9"/>
        <v>0</v>
      </c>
      <c r="K80" s="115">
        <f t="shared" si="9"/>
        <v>0</v>
      </c>
      <c r="L80" s="115">
        <f>SUMIFS('8. Uitgaven betaalverzoek'!$U:$U,'8. Uitgaven betaalverzoek'!$E:$E,$A80,'8. Uitgaven betaalverzoek'!$F:$F,$B80,'8. Uitgaven betaalverzoek'!$A:$A,Keuze_DB_Nr)</f>
        <v>0</v>
      </c>
      <c r="M80" s="115">
        <f>SUMIFS('8. Uitgaven betaalverzoek'!$V:$V,'8. Uitgaven betaalverzoek'!$E:$E,$A80,'8. Uitgaven betaalverzoek'!$F:$F,$B80,'8. Uitgaven betaalverzoek'!$A:$A,Keuze_DB_Nr)</f>
        <v>0</v>
      </c>
      <c r="N80" s="115" t="str">
        <f>IF($C80&lt;&gt;"",SUMIFS('8. Uitgaven betaalverzoek'!$W:$W,'8. Uitgaven betaalverzoek'!$E:$E,$A80,'8. Uitgaven betaalverzoek'!$F:$F,$B80,'8. Uitgaven betaalverzoek'!$A:$A,Keuze_DB_Nr),"")</f>
        <v/>
      </c>
      <c r="O80" s="115" t="str">
        <f>IF($C80&lt;&gt;"",SUMIFS('8. Uitgaven betaalverzoek'!$X:$X,'8. Uitgaven betaalverzoek'!$E:$E,$A80,'8. Uitgaven betaalverzoek'!$F:$F,$B80,'8. Uitgaven betaalverzoek'!$A:$A,Keuze_DB_Nr),"")</f>
        <v/>
      </c>
      <c r="P80" s="115">
        <f t="shared" si="10"/>
        <v>0</v>
      </c>
      <c r="Q80" s="115">
        <f t="shared" si="11"/>
        <v>0</v>
      </c>
      <c r="R80" s="115">
        <f>SUMIFS('8. Uitgaven betaalverzoek'!$U:$U,'8. Uitgaven betaalverzoek'!$E:$E,$A80,'8. Uitgaven betaalverzoek'!$F:$F,$B80,'8. Uitgaven betaalverzoek'!$A:$A,Keuze_DB_Nr_BEO)</f>
        <v>0</v>
      </c>
      <c r="S80" s="115">
        <f>SUMIFS('8. Uitgaven betaalverzoek'!$V:$V,'8. Uitgaven betaalverzoek'!$E:$E,$A80,'8. Uitgaven betaalverzoek'!$F:$F,$B80,'8. Uitgaven betaalverzoek'!$A:$A,Keuze_DB_Nr_BEO)</f>
        <v>0</v>
      </c>
      <c r="T80" s="115" t="str">
        <f>IF($C80&lt;&gt;"",SUMIFS('8. Uitgaven betaalverzoek'!$W:$W,'8. Uitgaven betaalverzoek'!$E:$E,$A80,'8. Uitgaven betaalverzoek'!$F:$F,$B80,'8. Uitgaven betaalverzoek'!$A:$A,Keuze_DB_Nr_BEO),"")</f>
        <v/>
      </c>
      <c r="U80" s="115" t="str">
        <f>IF($C80&lt;&gt;"",SUMIFS('8. Uitgaven betaalverzoek'!$X:$X,'8. Uitgaven betaalverzoek'!$E:$E,$A80,'8. Uitgaven betaalverzoek'!$F:$F,$B80,'8. Uitgaven betaalverzoek'!$A:$A,Keuze_DB_Nr_BEO),"")</f>
        <v/>
      </c>
      <c r="V80" s="115">
        <f t="shared" si="7"/>
        <v>0</v>
      </c>
      <c r="W80" s="115">
        <f t="shared" si="8"/>
        <v>0</v>
      </c>
    </row>
    <row r="81" spans="1:23" x14ac:dyDescent="0.25">
      <c r="A81" s="18"/>
      <c r="B81" s="18"/>
      <c r="C81" s="106" t="str" cm="1">
        <f t="array" ref="C81">IFERROR(INDEX(Tb_KostenOpties[],MATCH(B81,Tb_KostenOptiesDB[KostenOptie],0),IFERROR(MATCH(Methode_Keuze,Tb_KostenOptiesDB[#Headers],0),2)),"")</f>
        <v/>
      </c>
      <c r="D81" s="118">
        <f>IFERROR(INDEX(Tb_ProjectKosten[],MATCH($B81,Tb_ProjectKosten[Begroting],0),6),0)</f>
        <v>0</v>
      </c>
      <c r="E81" s="116">
        <f>SUMIFS('8. Uitgaven betaalverzoek'!$U:$U,'8. Uitgaven betaalverzoek'!$E:$E,$A81,'8. Uitgaven betaalverzoek'!$F:$F,$B81)</f>
        <v>0</v>
      </c>
      <c r="F81" s="116">
        <f>SUMIFS('8. Uitgaven betaalverzoek'!$V:$V,'8. Uitgaven betaalverzoek'!$E:$E,$A81,'8. Uitgaven betaalverzoek'!$F:$F,$B81)</f>
        <v>0</v>
      </c>
      <c r="G81" s="116" t="str">
        <f>IF(C81&lt;&gt;"",SUMIFS('8. Uitgaven betaalverzoek'!$W:$W,'8. Uitgaven betaalverzoek'!$E:$E,$A81,'8. Uitgaven betaalverzoek'!$F:$F,$B81),"")</f>
        <v/>
      </c>
      <c r="H81" s="116" t="str">
        <f>IF(C81&lt;&gt;"",SUMIFS('8. Uitgaven betaalverzoek'!$X:$X,'8. Uitgaven betaalverzoek'!$E:$E,$A81,'8. Uitgaven betaalverzoek'!$F:$F,$B81),"")</f>
        <v/>
      </c>
      <c r="I81" s="118" t="str">
        <f>IFERROR(VLOOKUP(A81,Lijsten!$AD:$AE,2,0),"")</f>
        <v/>
      </c>
      <c r="J81" s="116">
        <f t="shared" si="9"/>
        <v>0</v>
      </c>
      <c r="K81" s="116">
        <f t="shared" si="9"/>
        <v>0</v>
      </c>
      <c r="L81" s="116">
        <f>SUMIFS('8. Uitgaven betaalverzoek'!$U:$U,'8. Uitgaven betaalverzoek'!$E:$E,$A81,'8. Uitgaven betaalverzoek'!$F:$F,$B81,'8. Uitgaven betaalverzoek'!$A:$A,Keuze_DB_Nr)</f>
        <v>0</v>
      </c>
      <c r="M81" s="116">
        <f>SUMIFS('8. Uitgaven betaalverzoek'!$V:$V,'8. Uitgaven betaalverzoek'!$E:$E,$A81,'8. Uitgaven betaalverzoek'!$F:$F,$B81,'8. Uitgaven betaalverzoek'!$A:$A,Keuze_DB_Nr)</f>
        <v>0</v>
      </c>
      <c r="N81" s="116" t="str">
        <f>IF($C81&lt;&gt;"",SUMIFS('8. Uitgaven betaalverzoek'!$W:$W,'8. Uitgaven betaalverzoek'!$E:$E,$A81,'8. Uitgaven betaalverzoek'!$F:$F,$B81,'8. Uitgaven betaalverzoek'!$A:$A,Keuze_DB_Nr),"")</f>
        <v/>
      </c>
      <c r="O81" s="116" t="str">
        <f>IF($C81&lt;&gt;"",SUMIFS('8. Uitgaven betaalverzoek'!$X:$X,'8. Uitgaven betaalverzoek'!$E:$E,$A81,'8. Uitgaven betaalverzoek'!$F:$F,$B81,'8. Uitgaven betaalverzoek'!$A:$A,Keuze_DB_Nr),"")</f>
        <v/>
      </c>
      <c r="P81" s="116">
        <f t="shared" si="10"/>
        <v>0</v>
      </c>
      <c r="Q81" s="116">
        <f t="shared" si="11"/>
        <v>0</v>
      </c>
      <c r="R81" s="116">
        <f>SUMIFS('8. Uitgaven betaalverzoek'!$U:$U,'8. Uitgaven betaalverzoek'!$E:$E,$A81,'8. Uitgaven betaalverzoek'!$F:$F,$B81,'8. Uitgaven betaalverzoek'!$A:$A,Keuze_DB_Nr_BEO)</f>
        <v>0</v>
      </c>
      <c r="S81" s="116">
        <f>SUMIFS('8. Uitgaven betaalverzoek'!$V:$V,'8. Uitgaven betaalverzoek'!$E:$E,$A81,'8. Uitgaven betaalverzoek'!$F:$F,$B81,'8. Uitgaven betaalverzoek'!$A:$A,Keuze_DB_Nr_BEO)</f>
        <v>0</v>
      </c>
      <c r="T81" s="116" t="str">
        <f>IF($C81&lt;&gt;"",SUMIFS('8. Uitgaven betaalverzoek'!$W:$W,'8. Uitgaven betaalverzoek'!$E:$E,$A81,'8. Uitgaven betaalverzoek'!$F:$F,$B81,'8. Uitgaven betaalverzoek'!$A:$A,Keuze_DB_Nr_BEO),"")</f>
        <v/>
      </c>
      <c r="U81" s="116" t="str">
        <f>IF($C81&lt;&gt;"",SUMIFS('8. Uitgaven betaalverzoek'!$X:$X,'8. Uitgaven betaalverzoek'!$E:$E,$A81,'8. Uitgaven betaalverzoek'!$F:$F,$B81,'8. Uitgaven betaalverzoek'!$A:$A,Keuze_DB_Nr_BEO),"")</f>
        <v/>
      </c>
      <c r="V81" s="116">
        <f t="shared" si="7"/>
        <v>0</v>
      </c>
      <c r="W81" s="116">
        <f t="shared" si="8"/>
        <v>0</v>
      </c>
    </row>
    <row r="82" spans="1:23" x14ac:dyDescent="0.25">
      <c r="A82" s="78"/>
      <c r="B82" s="78"/>
      <c r="C82" s="105" t="str" cm="1">
        <f t="array" ref="C82">IFERROR(INDEX(Tb_KostenOpties[],MATCH(B82,Tb_KostenOptiesDB[KostenOptie],0),IFERROR(MATCH(Methode_Keuze,Tb_KostenOptiesDB[#Headers],0),2)),"")</f>
        <v/>
      </c>
      <c r="D82" s="117">
        <f>IFERROR(INDEX(Tb_ProjectKosten[],MATCH($B82,Tb_ProjectKosten[Begroting],0),6),0)</f>
        <v>0</v>
      </c>
      <c r="E82" s="115">
        <f>SUMIFS('8. Uitgaven betaalverzoek'!$U:$U,'8. Uitgaven betaalverzoek'!$E:$E,$A82,'8. Uitgaven betaalverzoek'!$F:$F,$B82)</f>
        <v>0</v>
      </c>
      <c r="F82" s="115">
        <f>SUMIFS('8. Uitgaven betaalverzoek'!$V:$V,'8. Uitgaven betaalverzoek'!$E:$E,$A82,'8. Uitgaven betaalverzoek'!$F:$F,$B82)</f>
        <v>0</v>
      </c>
      <c r="G82" s="115" t="str">
        <f>IF(C82&lt;&gt;"",SUMIFS('8. Uitgaven betaalverzoek'!$W:$W,'8. Uitgaven betaalverzoek'!$E:$E,$A82,'8. Uitgaven betaalverzoek'!$F:$F,$B82),"")</f>
        <v/>
      </c>
      <c r="H82" s="115" t="str">
        <f>IF(C82&lt;&gt;"",SUMIFS('8. Uitgaven betaalverzoek'!$X:$X,'8. Uitgaven betaalverzoek'!$E:$E,$A82,'8. Uitgaven betaalverzoek'!$F:$F,$B82),"")</f>
        <v/>
      </c>
      <c r="I82" s="117" t="str">
        <f>IFERROR(VLOOKUP(A82,Lijsten!$AD:$AE,2,0),"")</f>
        <v/>
      </c>
      <c r="J82" s="115">
        <f t="shared" si="9"/>
        <v>0</v>
      </c>
      <c r="K82" s="115">
        <f t="shared" si="9"/>
        <v>0</v>
      </c>
      <c r="L82" s="115">
        <f>SUMIFS('8. Uitgaven betaalverzoek'!$U:$U,'8. Uitgaven betaalverzoek'!$E:$E,$A82,'8. Uitgaven betaalverzoek'!$F:$F,$B82,'8. Uitgaven betaalverzoek'!$A:$A,Keuze_DB_Nr)</f>
        <v>0</v>
      </c>
      <c r="M82" s="115">
        <f>SUMIFS('8. Uitgaven betaalverzoek'!$V:$V,'8. Uitgaven betaalverzoek'!$E:$E,$A82,'8. Uitgaven betaalverzoek'!$F:$F,$B82,'8. Uitgaven betaalverzoek'!$A:$A,Keuze_DB_Nr)</f>
        <v>0</v>
      </c>
      <c r="N82" s="115" t="str">
        <f>IF($C82&lt;&gt;"",SUMIFS('8. Uitgaven betaalverzoek'!$W:$W,'8. Uitgaven betaalverzoek'!$E:$E,$A82,'8. Uitgaven betaalverzoek'!$F:$F,$B82,'8. Uitgaven betaalverzoek'!$A:$A,Keuze_DB_Nr),"")</f>
        <v/>
      </c>
      <c r="O82" s="115" t="str">
        <f>IF($C82&lt;&gt;"",SUMIFS('8. Uitgaven betaalverzoek'!$X:$X,'8. Uitgaven betaalverzoek'!$E:$E,$A82,'8. Uitgaven betaalverzoek'!$F:$F,$B82,'8. Uitgaven betaalverzoek'!$A:$A,Keuze_DB_Nr),"")</f>
        <v/>
      </c>
      <c r="P82" s="115">
        <f t="shared" si="10"/>
        <v>0</v>
      </c>
      <c r="Q82" s="115">
        <f t="shared" si="11"/>
        <v>0</v>
      </c>
      <c r="R82" s="115">
        <f>SUMIFS('8. Uitgaven betaalverzoek'!$U:$U,'8. Uitgaven betaalverzoek'!$E:$E,$A82,'8. Uitgaven betaalverzoek'!$F:$F,$B82,'8. Uitgaven betaalverzoek'!$A:$A,Keuze_DB_Nr_BEO)</f>
        <v>0</v>
      </c>
      <c r="S82" s="115">
        <f>SUMIFS('8. Uitgaven betaalverzoek'!$V:$V,'8. Uitgaven betaalverzoek'!$E:$E,$A82,'8. Uitgaven betaalverzoek'!$F:$F,$B82,'8. Uitgaven betaalverzoek'!$A:$A,Keuze_DB_Nr_BEO)</f>
        <v>0</v>
      </c>
      <c r="T82" s="115" t="str">
        <f>IF($C82&lt;&gt;"",SUMIFS('8. Uitgaven betaalverzoek'!$W:$W,'8. Uitgaven betaalverzoek'!$E:$E,$A82,'8. Uitgaven betaalverzoek'!$F:$F,$B82,'8. Uitgaven betaalverzoek'!$A:$A,Keuze_DB_Nr_BEO),"")</f>
        <v/>
      </c>
      <c r="U82" s="115" t="str">
        <f>IF($C82&lt;&gt;"",SUMIFS('8. Uitgaven betaalverzoek'!$X:$X,'8. Uitgaven betaalverzoek'!$E:$E,$A82,'8. Uitgaven betaalverzoek'!$F:$F,$B82,'8. Uitgaven betaalverzoek'!$A:$A,Keuze_DB_Nr_BEO),"")</f>
        <v/>
      </c>
      <c r="V82" s="115">
        <f t="shared" si="7"/>
        <v>0</v>
      </c>
      <c r="W82" s="115">
        <f t="shared" si="8"/>
        <v>0</v>
      </c>
    </row>
    <row r="83" spans="1:23" x14ac:dyDescent="0.25">
      <c r="A83" s="18"/>
      <c r="B83" s="18"/>
      <c r="C83" s="106" t="str" cm="1">
        <f t="array" ref="C83">IFERROR(INDEX(Tb_KostenOpties[],MATCH(B83,Tb_KostenOptiesDB[KostenOptie],0),IFERROR(MATCH(Methode_Keuze,Tb_KostenOptiesDB[#Headers],0),2)),"")</f>
        <v/>
      </c>
      <c r="D83" s="118">
        <f>IFERROR(INDEX(Tb_ProjectKosten[],MATCH($B83,Tb_ProjectKosten[Begroting],0),6),0)</f>
        <v>0</v>
      </c>
      <c r="E83" s="116">
        <f>SUMIFS('8. Uitgaven betaalverzoek'!$U:$U,'8. Uitgaven betaalverzoek'!$E:$E,$A83,'8. Uitgaven betaalverzoek'!$F:$F,$B83)</f>
        <v>0</v>
      </c>
      <c r="F83" s="116">
        <f>SUMIFS('8. Uitgaven betaalverzoek'!$V:$V,'8. Uitgaven betaalverzoek'!$E:$E,$A83,'8. Uitgaven betaalverzoek'!$F:$F,$B83)</f>
        <v>0</v>
      </c>
      <c r="G83" s="116" t="str">
        <f>IF(C83&lt;&gt;"",SUMIFS('8. Uitgaven betaalverzoek'!$W:$W,'8. Uitgaven betaalverzoek'!$E:$E,$A83,'8. Uitgaven betaalverzoek'!$F:$F,$B83),"")</f>
        <v/>
      </c>
      <c r="H83" s="116" t="str">
        <f>IF(C83&lt;&gt;"",SUMIFS('8. Uitgaven betaalverzoek'!$X:$X,'8. Uitgaven betaalverzoek'!$E:$E,$A83,'8. Uitgaven betaalverzoek'!$F:$F,$B83),"")</f>
        <v/>
      </c>
      <c r="I83" s="118" t="str">
        <f>IFERROR(VLOOKUP(A83,Lijsten!$AD:$AE,2,0),"")</f>
        <v/>
      </c>
      <c r="J83" s="116">
        <f t="shared" si="9"/>
        <v>0</v>
      </c>
      <c r="K83" s="116">
        <f t="shared" si="9"/>
        <v>0</v>
      </c>
      <c r="L83" s="116">
        <f>SUMIFS('8. Uitgaven betaalverzoek'!$U:$U,'8. Uitgaven betaalverzoek'!$E:$E,$A83,'8. Uitgaven betaalverzoek'!$F:$F,$B83,'8. Uitgaven betaalverzoek'!$A:$A,Keuze_DB_Nr)</f>
        <v>0</v>
      </c>
      <c r="M83" s="116">
        <f>SUMIFS('8. Uitgaven betaalverzoek'!$V:$V,'8. Uitgaven betaalverzoek'!$E:$E,$A83,'8. Uitgaven betaalverzoek'!$F:$F,$B83,'8. Uitgaven betaalverzoek'!$A:$A,Keuze_DB_Nr)</f>
        <v>0</v>
      </c>
      <c r="N83" s="116" t="str">
        <f>IF($C83&lt;&gt;"",SUMIFS('8. Uitgaven betaalverzoek'!$W:$W,'8. Uitgaven betaalverzoek'!$E:$E,$A83,'8. Uitgaven betaalverzoek'!$F:$F,$B83,'8. Uitgaven betaalverzoek'!$A:$A,Keuze_DB_Nr),"")</f>
        <v/>
      </c>
      <c r="O83" s="116" t="str">
        <f>IF($C83&lt;&gt;"",SUMIFS('8. Uitgaven betaalverzoek'!$X:$X,'8. Uitgaven betaalverzoek'!$E:$E,$A83,'8. Uitgaven betaalverzoek'!$F:$F,$B83,'8. Uitgaven betaalverzoek'!$A:$A,Keuze_DB_Nr),"")</f>
        <v/>
      </c>
      <c r="P83" s="116">
        <f t="shared" si="10"/>
        <v>0</v>
      </c>
      <c r="Q83" s="116">
        <f t="shared" si="11"/>
        <v>0</v>
      </c>
      <c r="R83" s="116">
        <f>SUMIFS('8. Uitgaven betaalverzoek'!$U:$U,'8. Uitgaven betaalverzoek'!$E:$E,$A83,'8. Uitgaven betaalverzoek'!$F:$F,$B83,'8. Uitgaven betaalverzoek'!$A:$A,Keuze_DB_Nr_BEO)</f>
        <v>0</v>
      </c>
      <c r="S83" s="116">
        <f>SUMIFS('8. Uitgaven betaalverzoek'!$V:$V,'8. Uitgaven betaalverzoek'!$E:$E,$A83,'8. Uitgaven betaalverzoek'!$F:$F,$B83,'8. Uitgaven betaalverzoek'!$A:$A,Keuze_DB_Nr_BEO)</f>
        <v>0</v>
      </c>
      <c r="T83" s="116" t="str">
        <f>IF($C83&lt;&gt;"",SUMIFS('8. Uitgaven betaalverzoek'!$W:$W,'8. Uitgaven betaalverzoek'!$E:$E,$A83,'8. Uitgaven betaalverzoek'!$F:$F,$B83,'8. Uitgaven betaalverzoek'!$A:$A,Keuze_DB_Nr_BEO),"")</f>
        <v/>
      </c>
      <c r="U83" s="116" t="str">
        <f>IF($C83&lt;&gt;"",SUMIFS('8. Uitgaven betaalverzoek'!$X:$X,'8. Uitgaven betaalverzoek'!$E:$E,$A83,'8. Uitgaven betaalverzoek'!$F:$F,$B83,'8. Uitgaven betaalverzoek'!$A:$A,Keuze_DB_Nr_BEO),"")</f>
        <v/>
      </c>
      <c r="V83" s="116">
        <f t="shared" si="7"/>
        <v>0</v>
      </c>
      <c r="W83" s="116">
        <f t="shared" si="8"/>
        <v>0</v>
      </c>
    </row>
    <row r="84" spans="1:23" x14ac:dyDescent="0.25">
      <c r="A84" s="78"/>
      <c r="B84" s="78"/>
      <c r="C84" s="105" t="str" cm="1">
        <f t="array" ref="C84">IFERROR(INDEX(Tb_KostenOpties[],MATCH(B84,Tb_KostenOptiesDB[KostenOptie],0),IFERROR(MATCH(Methode_Keuze,Tb_KostenOptiesDB[#Headers],0),2)),"")</f>
        <v/>
      </c>
      <c r="D84" s="117">
        <f>IFERROR(INDEX(Tb_ProjectKosten[],MATCH($B84,Tb_ProjectKosten[Begroting],0),6),0)</f>
        <v>0</v>
      </c>
      <c r="E84" s="115">
        <f>SUMIFS('8. Uitgaven betaalverzoek'!$U:$U,'8. Uitgaven betaalverzoek'!$E:$E,$A84,'8. Uitgaven betaalverzoek'!$F:$F,$B84)</f>
        <v>0</v>
      </c>
      <c r="F84" s="115">
        <f>SUMIFS('8. Uitgaven betaalverzoek'!$V:$V,'8. Uitgaven betaalverzoek'!$E:$E,$A84,'8. Uitgaven betaalverzoek'!$F:$F,$B84)</f>
        <v>0</v>
      </c>
      <c r="G84" s="115" t="str">
        <f>IF(C84&lt;&gt;"",SUMIFS('8. Uitgaven betaalverzoek'!$W:$W,'8. Uitgaven betaalverzoek'!$E:$E,$A84,'8. Uitgaven betaalverzoek'!$F:$F,$B84),"")</f>
        <v/>
      </c>
      <c r="H84" s="115" t="str">
        <f>IF(C84&lt;&gt;"",SUMIFS('8. Uitgaven betaalverzoek'!$X:$X,'8. Uitgaven betaalverzoek'!$E:$E,$A84,'8. Uitgaven betaalverzoek'!$F:$F,$B84),"")</f>
        <v/>
      </c>
      <c r="I84" s="117" t="str">
        <f>IFERROR(VLOOKUP(A84,Lijsten!$AD:$AE,2,0),"")</f>
        <v/>
      </c>
      <c r="J84" s="115">
        <f t="shared" si="9"/>
        <v>0</v>
      </c>
      <c r="K84" s="115">
        <f t="shared" si="9"/>
        <v>0</v>
      </c>
      <c r="L84" s="115">
        <f>SUMIFS('8. Uitgaven betaalverzoek'!$U:$U,'8. Uitgaven betaalverzoek'!$E:$E,$A84,'8. Uitgaven betaalverzoek'!$F:$F,$B84,'8. Uitgaven betaalverzoek'!$A:$A,Keuze_DB_Nr)</f>
        <v>0</v>
      </c>
      <c r="M84" s="115">
        <f>SUMIFS('8. Uitgaven betaalverzoek'!$V:$V,'8. Uitgaven betaalverzoek'!$E:$E,$A84,'8. Uitgaven betaalverzoek'!$F:$F,$B84,'8. Uitgaven betaalverzoek'!$A:$A,Keuze_DB_Nr)</f>
        <v>0</v>
      </c>
      <c r="N84" s="115" t="str">
        <f>IF($C84&lt;&gt;"",SUMIFS('8. Uitgaven betaalverzoek'!$W:$W,'8. Uitgaven betaalverzoek'!$E:$E,$A84,'8. Uitgaven betaalverzoek'!$F:$F,$B84,'8. Uitgaven betaalverzoek'!$A:$A,Keuze_DB_Nr),"")</f>
        <v/>
      </c>
      <c r="O84" s="115" t="str">
        <f>IF($C84&lt;&gt;"",SUMIFS('8. Uitgaven betaalverzoek'!$X:$X,'8. Uitgaven betaalverzoek'!$E:$E,$A84,'8. Uitgaven betaalverzoek'!$F:$F,$B84,'8. Uitgaven betaalverzoek'!$A:$A,Keuze_DB_Nr),"")</f>
        <v/>
      </c>
      <c r="P84" s="115">
        <f t="shared" si="10"/>
        <v>0</v>
      </c>
      <c r="Q84" s="115">
        <f t="shared" si="11"/>
        <v>0</v>
      </c>
      <c r="R84" s="115">
        <f>SUMIFS('8. Uitgaven betaalverzoek'!$U:$U,'8. Uitgaven betaalverzoek'!$E:$E,$A84,'8. Uitgaven betaalverzoek'!$F:$F,$B84,'8. Uitgaven betaalverzoek'!$A:$A,Keuze_DB_Nr_BEO)</f>
        <v>0</v>
      </c>
      <c r="S84" s="115">
        <f>SUMIFS('8. Uitgaven betaalverzoek'!$V:$V,'8. Uitgaven betaalverzoek'!$E:$E,$A84,'8. Uitgaven betaalverzoek'!$F:$F,$B84,'8. Uitgaven betaalverzoek'!$A:$A,Keuze_DB_Nr_BEO)</f>
        <v>0</v>
      </c>
      <c r="T84" s="115" t="str">
        <f>IF($C84&lt;&gt;"",SUMIFS('8. Uitgaven betaalverzoek'!$W:$W,'8. Uitgaven betaalverzoek'!$E:$E,$A84,'8. Uitgaven betaalverzoek'!$F:$F,$B84,'8. Uitgaven betaalverzoek'!$A:$A,Keuze_DB_Nr_BEO),"")</f>
        <v/>
      </c>
      <c r="U84" s="115" t="str">
        <f>IF($C84&lt;&gt;"",SUMIFS('8. Uitgaven betaalverzoek'!$X:$X,'8. Uitgaven betaalverzoek'!$E:$E,$A84,'8. Uitgaven betaalverzoek'!$F:$F,$B84,'8. Uitgaven betaalverzoek'!$A:$A,Keuze_DB_Nr_BEO),"")</f>
        <v/>
      </c>
      <c r="V84" s="115">
        <f t="shared" si="7"/>
        <v>0</v>
      </c>
      <c r="W84" s="115">
        <f t="shared" si="8"/>
        <v>0</v>
      </c>
    </row>
    <row r="85" spans="1:23" x14ac:dyDescent="0.25">
      <c r="A85" s="18"/>
      <c r="B85" s="18"/>
      <c r="C85" s="106" t="str" cm="1">
        <f t="array" ref="C85">IFERROR(INDEX(Tb_KostenOpties[],MATCH(B85,Tb_KostenOptiesDB[KostenOptie],0),IFERROR(MATCH(Methode_Keuze,Tb_KostenOptiesDB[#Headers],0),2)),"")</f>
        <v/>
      </c>
      <c r="D85" s="118">
        <f>IFERROR(INDEX(Tb_ProjectKosten[],MATCH($B85,Tb_ProjectKosten[Begroting],0),6),0)</f>
        <v>0</v>
      </c>
      <c r="E85" s="116">
        <f>SUMIFS('8. Uitgaven betaalverzoek'!$U:$U,'8. Uitgaven betaalverzoek'!$E:$E,$A85,'8. Uitgaven betaalverzoek'!$F:$F,$B85)</f>
        <v>0</v>
      </c>
      <c r="F85" s="116">
        <f>SUMIFS('8. Uitgaven betaalverzoek'!$V:$V,'8. Uitgaven betaalverzoek'!$E:$E,$A85,'8. Uitgaven betaalverzoek'!$F:$F,$B85)</f>
        <v>0</v>
      </c>
      <c r="G85" s="116" t="str">
        <f>IF(C85&lt;&gt;"",SUMIFS('8. Uitgaven betaalverzoek'!$W:$W,'8. Uitgaven betaalverzoek'!$E:$E,$A85,'8. Uitgaven betaalverzoek'!$F:$F,$B85),"")</f>
        <v/>
      </c>
      <c r="H85" s="116" t="str">
        <f>IF(C85&lt;&gt;"",SUMIFS('8. Uitgaven betaalverzoek'!$X:$X,'8. Uitgaven betaalverzoek'!$E:$E,$A85,'8. Uitgaven betaalverzoek'!$F:$F,$B85),"")</f>
        <v/>
      </c>
      <c r="I85" s="118" t="str">
        <f>IFERROR(VLOOKUP(A85,Lijsten!$AD:$AE,2,0),"")</f>
        <v/>
      </c>
      <c r="J85" s="116">
        <f t="shared" si="9"/>
        <v>0</v>
      </c>
      <c r="K85" s="116">
        <f t="shared" si="9"/>
        <v>0</v>
      </c>
      <c r="L85" s="116">
        <f>SUMIFS('8. Uitgaven betaalverzoek'!$U:$U,'8. Uitgaven betaalverzoek'!$E:$E,$A85,'8. Uitgaven betaalverzoek'!$F:$F,$B85,'8. Uitgaven betaalverzoek'!$A:$A,Keuze_DB_Nr)</f>
        <v>0</v>
      </c>
      <c r="M85" s="116">
        <f>SUMIFS('8. Uitgaven betaalverzoek'!$V:$V,'8. Uitgaven betaalverzoek'!$E:$E,$A85,'8. Uitgaven betaalverzoek'!$F:$F,$B85,'8. Uitgaven betaalverzoek'!$A:$A,Keuze_DB_Nr)</f>
        <v>0</v>
      </c>
      <c r="N85" s="116" t="str">
        <f>IF($C85&lt;&gt;"",SUMIFS('8. Uitgaven betaalverzoek'!$W:$W,'8. Uitgaven betaalverzoek'!$E:$E,$A85,'8. Uitgaven betaalverzoek'!$F:$F,$B85,'8. Uitgaven betaalverzoek'!$A:$A,Keuze_DB_Nr),"")</f>
        <v/>
      </c>
      <c r="O85" s="116" t="str">
        <f>IF($C85&lt;&gt;"",SUMIFS('8. Uitgaven betaalverzoek'!$X:$X,'8. Uitgaven betaalverzoek'!$E:$E,$A85,'8. Uitgaven betaalverzoek'!$F:$F,$B85,'8. Uitgaven betaalverzoek'!$A:$A,Keuze_DB_Nr),"")</f>
        <v/>
      </c>
      <c r="P85" s="116">
        <f t="shared" si="10"/>
        <v>0</v>
      </c>
      <c r="Q85" s="116">
        <f t="shared" si="11"/>
        <v>0</v>
      </c>
      <c r="R85" s="116">
        <f>SUMIFS('8. Uitgaven betaalverzoek'!$U:$U,'8. Uitgaven betaalverzoek'!$E:$E,$A85,'8. Uitgaven betaalverzoek'!$F:$F,$B85,'8. Uitgaven betaalverzoek'!$A:$A,Keuze_DB_Nr_BEO)</f>
        <v>0</v>
      </c>
      <c r="S85" s="116">
        <f>SUMIFS('8. Uitgaven betaalverzoek'!$V:$V,'8. Uitgaven betaalverzoek'!$E:$E,$A85,'8. Uitgaven betaalverzoek'!$F:$F,$B85,'8. Uitgaven betaalverzoek'!$A:$A,Keuze_DB_Nr_BEO)</f>
        <v>0</v>
      </c>
      <c r="T85" s="116" t="str">
        <f>IF($C85&lt;&gt;"",SUMIFS('8. Uitgaven betaalverzoek'!$W:$W,'8. Uitgaven betaalverzoek'!$E:$E,$A85,'8. Uitgaven betaalverzoek'!$F:$F,$B85,'8. Uitgaven betaalverzoek'!$A:$A,Keuze_DB_Nr_BEO),"")</f>
        <v/>
      </c>
      <c r="U85" s="116" t="str">
        <f>IF($C85&lt;&gt;"",SUMIFS('8. Uitgaven betaalverzoek'!$X:$X,'8. Uitgaven betaalverzoek'!$E:$E,$A85,'8. Uitgaven betaalverzoek'!$F:$F,$B85,'8. Uitgaven betaalverzoek'!$A:$A,Keuze_DB_Nr_BEO),"")</f>
        <v/>
      </c>
      <c r="V85" s="116">
        <f t="shared" si="7"/>
        <v>0</v>
      </c>
      <c r="W85" s="116">
        <f t="shared" si="8"/>
        <v>0</v>
      </c>
    </row>
    <row r="86" spans="1:23" x14ac:dyDescent="0.25">
      <c r="A86" s="78"/>
      <c r="B86" s="78"/>
      <c r="C86" s="105" t="str" cm="1">
        <f t="array" ref="C86">IFERROR(INDEX(Tb_KostenOpties[],MATCH(B86,Tb_KostenOptiesDB[KostenOptie],0),IFERROR(MATCH(Methode_Keuze,Tb_KostenOptiesDB[#Headers],0),2)),"")</f>
        <v/>
      </c>
      <c r="D86" s="117">
        <f>IFERROR(INDEX(Tb_ProjectKosten[],MATCH($B86,Tb_ProjectKosten[Begroting],0),6),0)</f>
        <v>0</v>
      </c>
      <c r="E86" s="115">
        <f>SUMIFS('8. Uitgaven betaalverzoek'!$U:$U,'8. Uitgaven betaalverzoek'!$E:$E,$A86,'8. Uitgaven betaalverzoek'!$F:$F,$B86)</f>
        <v>0</v>
      </c>
      <c r="F86" s="115">
        <f>SUMIFS('8. Uitgaven betaalverzoek'!$V:$V,'8. Uitgaven betaalverzoek'!$E:$E,$A86,'8. Uitgaven betaalverzoek'!$F:$F,$B86)</f>
        <v>0</v>
      </c>
      <c r="G86" s="115" t="str">
        <f>IF(C86&lt;&gt;"",SUMIFS('8. Uitgaven betaalverzoek'!$W:$W,'8. Uitgaven betaalverzoek'!$E:$E,$A86,'8. Uitgaven betaalverzoek'!$F:$F,$B86),"")</f>
        <v/>
      </c>
      <c r="H86" s="115" t="str">
        <f>IF(C86&lt;&gt;"",SUMIFS('8. Uitgaven betaalverzoek'!$X:$X,'8. Uitgaven betaalverzoek'!$E:$E,$A86,'8. Uitgaven betaalverzoek'!$F:$F,$B86),"")</f>
        <v/>
      </c>
      <c r="I86" s="117" t="str">
        <f>IFERROR(VLOOKUP(A86,Lijsten!$AD:$AE,2,0),"")</f>
        <v/>
      </c>
      <c r="J86" s="115">
        <f t="shared" si="9"/>
        <v>0</v>
      </c>
      <c r="K86" s="115">
        <f t="shared" si="9"/>
        <v>0</v>
      </c>
      <c r="L86" s="115">
        <f>SUMIFS('8. Uitgaven betaalverzoek'!$U:$U,'8. Uitgaven betaalverzoek'!$E:$E,$A86,'8. Uitgaven betaalverzoek'!$F:$F,$B86,'8. Uitgaven betaalverzoek'!$A:$A,Keuze_DB_Nr)</f>
        <v>0</v>
      </c>
      <c r="M86" s="115">
        <f>SUMIFS('8. Uitgaven betaalverzoek'!$V:$V,'8. Uitgaven betaalverzoek'!$E:$E,$A86,'8. Uitgaven betaalverzoek'!$F:$F,$B86,'8. Uitgaven betaalverzoek'!$A:$A,Keuze_DB_Nr)</f>
        <v>0</v>
      </c>
      <c r="N86" s="115" t="str">
        <f>IF($C86&lt;&gt;"",SUMIFS('8. Uitgaven betaalverzoek'!$W:$W,'8. Uitgaven betaalverzoek'!$E:$E,$A86,'8. Uitgaven betaalverzoek'!$F:$F,$B86,'8. Uitgaven betaalverzoek'!$A:$A,Keuze_DB_Nr),"")</f>
        <v/>
      </c>
      <c r="O86" s="115" t="str">
        <f>IF($C86&lt;&gt;"",SUMIFS('8. Uitgaven betaalverzoek'!$X:$X,'8. Uitgaven betaalverzoek'!$E:$E,$A86,'8. Uitgaven betaalverzoek'!$F:$F,$B86,'8. Uitgaven betaalverzoek'!$A:$A,Keuze_DB_Nr),"")</f>
        <v/>
      </c>
      <c r="P86" s="115">
        <f t="shared" si="10"/>
        <v>0</v>
      </c>
      <c r="Q86" s="115">
        <f t="shared" si="11"/>
        <v>0</v>
      </c>
      <c r="R86" s="115">
        <f>SUMIFS('8. Uitgaven betaalverzoek'!$U:$U,'8. Uitgaven betaalverzoek'!$E:$E,$A86,'8. Uitgaven betaalverzoek'!$F:$F,$B86,'8. Uitgaven betaalverzoek'!$A:$A,Keuze_DB_Nr_BEO)</f>
        <v>0</v>
      </c>
      <c r="S86" s="115">
        <f>SUMIFS('8. Uitgaven betaalverzoek'!$V:$V,'8. Uitgaven betaalverzoek'!$E:$E,$A86,'8. Uitgaven betaalverzoek'!$F:$F,$B86,'8. Uitgaven betaalverzoek'!$A:$A,Keuze_DB_Nr_BEO)</f>
        <v>0</v>
      </c>
      <c r="T86" s="115" t="str">
        <f>IF($C86&lt;&gt;"",SUMIFS('8. Uitgaven betaalverzoek'!$W:$W,'8. Uitgaven betaalverzoek'!$E:$E,$A86,'8. Uitgaven betaalverzoek'!$F:$F,$B86,'8. Uitgaven betaalverzoek'!$A:$A,Keuze_DB_Nr_BEO),"")</f>
        <v/>
      </c>
      <c r="U86" s="115" t="str">
        <f>IF($C86&lt;&gt;"",SUMIFS('8. Uitgaven betaalverzoek'!$X:$X,'8. Uitgaven betaalverzoek'!$E:$E,$A86,'8. Uitgaven betaalverzoek'!$F:$F,$B86,'8. Uitgaven betaalverzoek'!$A:$A,Keuze_DB_Nr_BEO),"")</f>
        <v/>
      </c>
      <c r="V86" s="115">
        <f t="shared" si="7"/>
        <v>0</v>
      </c>
      <c r="W86" s="115">
        <f t="shared" si="8"/>
        <v>0</v>
      </c>
    </row>
    <row r="87" spans="1:23" x14ac:dyDescent="0.25">
      <c r="A87" s="18"/>
      <c r="B87" s="18"/>
      <c r="C87" s="106" t="str" cm="1">
        <f t="array" ref="C87">IFERROR(INDEX(Tb_KostenOpties[],MATCH(B87,Tb_KostenOptiesDB[KostenOptie],0),IFERROR(MATCH(Methode_Keuze,Tb_KostenOptiesDB[#Headers],0),2)),"")</f>
        <v/>
      </c>
      <c r="D87" s="118">
        <f>IFERROR(INDEX(Tb_ProjectKosten[],MATCH($B87,Tb_ProjectKosten[Begroting],0),6),0)</f>
        <v>0</v>
      </c>
      <c r="E87" s="116">
        <f>SUMIFS('8. Uitgaven betaalverzoek'!$U:$U,'8. Uitgaven betaalverzoek'!$E:$E,$A87,'8. Uitgaven betaalverzoek'!$F:$F,$B87)</f>
        <v>0</v>
      </c>
      <c r="F87" s="116">
        <f>SUMIFS('8. Uitgaven betaalverzoek'!$V:$V,'8. Uitgaven betaalverzoek'!$E:$E,$A87,'8. Uitgaven betaalverzoek'!$F:$F,$B87)</f>
        <v>0</v>
      </c>
      <c r="G87" s="116" t="str">
        <f>IF(C87&lt;&gt;"",SUMIFS('8. Uitgaven betaalverzoek'!$W:$W,'8. Uitgaven betaalverzoek'!$E:$E,$A87,'8. Uitgaven betaalverzoek'!$F:$F,$B87),"")</f>
        <v/>
      </c>
      <c r="H87" s="116" t="str">
        <f>IF(C87&lt;&gt;"",SUMIFS('8. Uitgaven betaalverzoek'!$X:$X,'8. Uitgaven betaalverzoek'!$E:$E,$A87,'8. Uitgaven betaalverzoek'!$F:$F,$B87),"")</f>
        <v/>
      </c>
      <c r="I87" s="118" t="str">
        <f>IFERROR(VLOOKUP(A87,Lijsten!$AD:$AE,2,0),"")</f>
        <v/>
      </c>
      <c r="J87" s="116">
        <f t="shared" si="9"/>
        <v>0</v>
      </c>
      <c r="K87" s="116">
        <f t="shared" si="9"/>
        <v>0</v>
      </c>
      <c r="L87" s="116">
        <f>SUMIFS('8. Uitgaven betaalverzoek'!$U:$U,'8. Uitgaven betaalverzoek'!$E:$E,$A87,'8. Uitgaven betaalverzoek'!$F:$F,$B87,'8. Uitgaven betaalverzoek'!$A:$A,Keuze_DB_Nr)</f>
        <v>0</v>
      </c>
      <c r="M87" s="116">
        <f>SUMIFS('8. Uitgaven betaalverzoek'!$V:$V,'8. Uitgaven betaalverzoek'!$E:$E,$A87,'8. Uitgaven betaalverzoek'!$F:$F,$B87,'8. Uitgaven betaalverzoek'!$A:$A,Keuze_DB_Nr)</f>
        <v>0</v>
      </c>
      <c r="N87" s="116" t="str">
        <f>IF($C87&lt;&gt;"",SUMIFS('8. Uitgaven betaalverzoek'!$W:$W,'8. Uitgaven betaalverzoek'!$E:$E,$A87,'8. Uitgaven betaalverzoek'!$F:$F,$B87,'8. Uitgaven betaalverzoek'!$A:$A,Keuze_DB_Nr),"")</f>
        <v/>
      </c>
      <c r="O87" s="116" t="str">
        <f>IF($C87&lt;&gt;"",SUMIFS('8. Uitgaven betaalverzoek'!$X:$X,'8. Uitgaven betaalverzoek'!$E:$E,$A87,'8. Uitgaven betaalverzoek'!$F:$F,$B87,'8. Uitgaven betaalverzoek'!$A:$A,Keuze_DB_Nr),"")</f>
        <v/>
      </c>
      <c r="P87" s="116">
        <f t="shared" si="10"/>
        <v>0</v>
      </c>
      <c r="Q87" s="116">
        <f t="shared" si="11"/>
        <v>0</v>
      </c>
      <c r="R87" s="116">
        <f>SUMIFS('8. Uitgaven betaalverzoek'!$U:$U,'8. Uitgaven betaalverzoek'!$E:$E,$A87,'8. Uitgaven betaalverzoek'!$F:$F,$B87,'8. Uitgaven betaalverzoek'!$A:$A,Keuze_DB_Nr_BEO)</f>
        <v>0</v>
      </c>
      <c r="S87" s="116">
        <f>SUMIFS('8. Uitgaven betaalverzoek'!$V:$V,'8. Uitgaven betaalverzoek'!$E:$E,$A87,'8. Uitgaven betaalverzoek'!$F:$F,$B87,'8. Uitgaven betaalverzoek'!$A:$A,Keuze_DB_Nr_BEO)</f>
        <v>0</v>
      </c>
      <c r="T87" s="116" t="str">
        <f>IF($C87&lt;&gt;"",SUMIFS('8. Uitgaven betaalverzoek'!$W:$W,'8. Uitgaven betaalverzoek'!$E:$E,$A87,'8. Uitgaven betaalverzoek'!$F:$F,$B87,'8. Uitgaven betaalverzoek'!$A:$A,Keuze_DB_Nr_BEO),"")</f>
        <v/>
      </c>
      <c r="U87" s="116" t="str">
        <f>IF($C87&lt;&gt;"",SUMIFS('8. Uitgaven betaalverzoek'!$X:$X,'8. Uitgaven betaalverzoek'!$E:$E,$A87,'8. Uitgaven betaalverzoek'!$F:$F,$B87,'8. Uitgaven betaalverzoek'!$A:$A,Keuze_DB_Nr_BEO),"")</f>
        <v/>
      </c>
      <c r="V87" s="116">
        <f t="shared" si="7"/>
        <v>0</v>
      </c>
      <c r="W87" s="116">
        <f t="shared" si="8"/>
        <v>0</v>
      </c>
    </row>
    <row r="88" spans="1:23" x14ac:dyDescent="0.25">
      <c r="A88" s="78"/>
      <c r="B88" s="78"/>
      <c r="C88" s="105" t="str" cm="1">
        <f t="array" ref="C88">IFERROR(INDEX(Tb_KostenOpties[],MATCH(B88,Tb_KostenOptiesDB[KostenOptie],0),IFERROR(MATCH(Methode_Keuze,Tb_KostenOptiesDB[#Headers],0),2)),"")</f>
        <v/>
      </c>
      <c r="D88" s="117">
        <f>IFERROR(INDEX(Tb_ProjectKosten[],MATCH($B88,Tb_ProjectKosten[Begroting],0),6),0)</f>
        <v>0</v>
      </c>
      <c r="E88" s="115">
        <f>SUMIFS('8. Uitgaven betaalverzoek'!$U:$U,'8. Uitgaven betaalverzoek'!$E:$E,$A88,'8. Uitgaven betaalverzoek'!$F:$F,$B88)</f>
        <v>0</v>
      </c>
      <c r="F88" s="115">
        <f>SUMIFS('8. Uitgaven betaalverzoek'!$V:$V,'8. Uitgaven betaalverzoek'!$E:$E,$A88,'8. Uitgaven betaalverzoek'!$F:$F,$B88)</f>
        <v>0</v>
      </c>
      <c r="G88" s="115" t="str">
        <f>IF(C88&lt;&gt;"",SUMIFS('8. Uitgaven betaalverzoek'!$W:$W,'8. Uitgaven betaalverzoek'!$E:$E,$A88,'8. Uitgaven betaalverzoek'!$F:$F,$B88),"")</f>
        <v/>
      </c>
      <c r="H88" s="115" t="str">
        <f>IF(C88&lt;&gt;"",SUMIFS('8. Uitgaven betaalverzoek'!$X:$X,'8. Uitgaven betaalverzoek'!$E:$E,$A88,'8. Uitgaven betaalverzoek'!$F:$F,$B88),"")</f>
        <v/>
      </c>
      <c r="I88" s="117" t="str">
        <f>IFERROR(VLOOKUP(A88,Lijsten!$AD:$AE,2,0),"")</f>
        <v/>
      </c>
      <c r="J88" s="115">
        <f t="shared" si="9"/>
        <v>0</v>
      </c>
      <c r="K88" s="115">
        <f t="shared" si="9"/>
        <v>0</v>
      </c>
      <c r="L88" s="115">
        <f>SUMIFS('8. Uitgaven betaalverzoek'!$U:$U,'8. Uitgaven betaalverzoek'!$E:$E,$A88,'8. Uitgaven betaalverzoek'!$F:$F,$B88,'8. Uitgaven betaalverzoek'!$A:$A,Keuze_DB_Nr)</f>
        <v>0</v>
      </c>
      <c r="M88" s="115">
        <f>SUMIFS('8. Uitgaven betaalverzoek'!$V:$V,'8. Uitgaven betaalverzoek'!$E:$E,$A88,'8. Uitgaven betaalverzoek'!$F:$F,$B88,'8. Uitgaven betaalverzoek'!$A:$A,Keuze_DB_Nr)</f>
        <v>0</v>
      </c>
      <c r="N88" s="115" t="str">
        <f>IF($C88&lt;&gt;"",SUMIFS('8. Uitgaven betaalverzoek'!$W:$W,'8. Uitgaven betaalverzoek'!$E:$E,$A88,'8. Uitgaven betaalverzoek'!$F:$F,$B88,'8. Uitgaven betaalverzoek'!$A:$A,Keuze_DB_Nr),"")</f>
        <v/>
      </c>
      <c r="O88" s="115" t="str">
        <f>IF($C88&lt;&gt;"",SUMIFS('8. Uitgaven betaalverzoek'!$X:$X,'8. Uitgaven betaalverzoek'!$E:$E,$A88,'8. Uitgaven betaalverzoek'!$F:$F,$B88,'8. Uitgaven betaalverzoek'!$A:$A,Keuze_DB_Nr),"")</f>
        <v/>
      </c>
      <c r="P88" s="115">
        <f t="shared" si="10"/>
        <v>0</v>
      </c>
      <c r="Q88" s="115">
        <f t="shared" si="11"/>
        <v>0</v>
      </c>
      <c r="R88" s="115">
        <f>SUMIFS('8. Uitgaven betaalverzoek'!$U:$U,'8. Uitgaven betaalverzoek'!$E:$E,$A88,'8. Uitgaven betaalverzoek'!$F:$F,$B88,'8. Uitgaven betaalverzoek'!$A:$A,Keuze_DB_Nr_BEO)</f>
        <v>0</v>
      </c>
      <c r="S88" s="115">
        <f>SUMIFS('8. Uitgaven betaalverzoek'!$V:$V,'8. Uitgaven betaalverzoek'!$E:$E,$A88,'8. Uitgaven betaalverzoek'!$F:$F,$B88,'8. Uitgaven betaalverzoek'!$A:$A,Keuze_DB_Nr_BEO)</f>
        <v>0</v>
      </c>
      <c r="T88" s="115" t="str">
        <f>IF($C88&lt;&gt;"",SUMIFS('8. Uitgaven betaalverzoek'!$W:$W,'8. Uitgaven betaalverzoek'!$E:$E,$A88,'8. Uitgaven betaalverzoek'!$F:$F,$B88,'8. Uitgaven betaalverzoek'!$A:$A,Keuze_DB_Nr_BEO),"")</f>
        <v/>
      </c>
      <c r="U88" s="115" t="str">
        <f>IF($C88&lt;&gt;"",SUMIFS('8. Uitgaven betaalverzoek'!$X:$X,'8. Uitgaven betaalverzoek'!$E:$E,$A88,'8. Uitgaven betaalverzoek'!$F:$F,$B88,'8. Uitgaven betaalverzoek'!$A:$A,Keuze_DB_Nr_BEO),"")</f>
        <v/>
      </c>
      <c r="V88" s="115">
        <f t="shared" si="7"/>
        <v>0</v>
      </c>
      <c r="W88" s="115">
        <f t="shared" si="8"/>
        <v>0</v>
      </c>
    </row>
    <row r="89" spans="1:23" x14ac:dyDescent="0.25">
      <c r="A89" s="18"/>
      <c r="B89" s="18"/>
      <c r="C89" s="106" t="str" cm="1">
        <f t="array" ref="C89">IFERROR(INDEX(Tb_KostenOpties[],MATCH(B89,Tb_KostenOptiesDB[KostenOptie],0),IFERROR(MATCH(Methode_Keuze,Tb_KostenOptiesDB[#Headers],0),2)),"")</f>
        <v/>
      </c>
      <c r="D89" s="118">
        <f>IFERROR(INDEX(Tb_ProjectKosten[],MATCH($B89,Tb_ProjectKosten[Begroting],0),6),0)</f>
        <v>0</v>
      </c>
      <c r="E89" s="116">
        <f>SUMIFS('8. Uitgaven betaalverzoek'!$U:$U,'8. Uitgaven betaalverzoek'!$E:$E,$A89,'8. Uitgaven betaalverzoek'!$F:$F,$B89)</f>
        <v>0</v>
      </c>
      <c r="F89" s="116">
        <f>SUMIFS('8. Uitgaven betaalverzoek'!$V:$V,'8. Uitgaven betaalverzoek'!$E:$E,$A89,'8. Uitgaven betaalverzoek'!$F:$F,$B89)</f>
        <v>0</v>
      </c>
      <c r="G89" s="116" t="str">
        <f>IF(C89&lt;&gt;"",SUMIFS('8. Uitgaven betaalverzoek'!$W:$W,'8. Uitgaven betaalverzoek'!$E:$E,$A89,'8. Uitgaven betaalverzoek'!$F:$F,$B89),"")</f>
        <v/>
      </c>
      <c r="H89" s="116" t="str">
        <f>IF(C89&lt;&gt;"",SUMIFS('8. Uitgaven betaalverzoek'!$X:$X,'8. Uitgaven betaalverzoek'!$E:$E,$A89,'8. Uitgaven betaalverzoek'!$F:$F,$B89),"")</f>
        <v/>
      </c>
      <c r="I89" s="118" t="str">
        <f>IFERROR(VLOOKUP(A89,Lijsten!$AD:$AE,2,0),"")</f>
        <v/>
      </c>
      <c r="J89" s="116">
        <f t="shared" si="9"/>
        <v>0</v>
      </c>
      <c r="K89" s="116">
        <f t="shared" si="9"/>
        <v>0</v>
      </c>
      <c r="L89" s="116">
        <f>SUMIFS('8. Uitgaven betaalverzoek'!$U:$U,'8. Uitgaven betaalverzoek'!$E:$E,$A89,'8. Uitgaven betaalverzoek'!$F:$F,$B89,'8. Uitgaven betaalverzoek'!$A:$A,Keuze_DB_Nr)</f>
        <v>0</v>
      </c>
      <c r="M89" s="116">
        <f>SUMIFS('8. Uitgaven betaalverzoek'!$V:$V,'8. Uitgaven betaalverzoek'!$E:$E,$A89,'8. Uitgaven betaalverzoek'!$F:$F,$B89,'8. Uitgaven betaalverzoek'!$A:$A,Keuze_DB_Nr)</f>
        <v>0</v>
      </c>
      <c r="N89" s="116" t="str">
        <f>IF($C89&lt;&gt;"",SUMIFS('8. Uitgaven betaalverzoek'!$W:$W,'8. Uitgaven betaalverzoek'!$E:$E,$A89,'8. Uitgaven betaalverzoek'!$F:$F,$B89,'8. Uitgaven betaalverzoek'!$A:$A,Keuze_DB_Nr),"")</f>
        <v/>
      </c>
      <c r="O89" s="116" t="str">
        <f>IF($C89&lt;&gt;"",SUMIFS('8. Uitgaven betaalverzoek'!$X:$X,'8. Uitgaven betaalverzoek'!$E:$E,$A89,'8. Uitgaven betaalverzoek'!$F:$F,$B89,'8. Uitgaven betaalverzoek'!$A:$A,Keuze_DB_Nr),"")</f>
        <v/>
      </c>
      <c r="P89" s="116">
        <f t="shared" si="10"/>
        <v>0</v>
      </c>
      <c r="Q89" s="116">
        <f t="shared" si="11"/>
        <v>0</v>
      </c>
      <c r="R89" s="116">
        <f>SUMIFS('8. Uitgaven betaalverzoek'!$U:$U,'8. Uitgaven betaalverzoek'!$E:$E,$A89,'8. Uitgaven betaalverzoek'!$F:$F,$B89,'8. Uitgaven betaalverzoek'!$A:$A,Keuze_DB_Nr_BEO)</f>
        <v>0</v>
      </c>
      <c r="S89" s="116">
        <f>SUMIFS('8. Uitgaven betaalverzoek'!$V:$V,'8. Uitgaven betaalverzoek'!$E:$E,$A89,'8. Uitgaven betaalverzoek'!$F:$F,$B89,'8. Uitgaven betaalverzoek'!$A:$A,Keuze_DB_Nr_BEO)</f>
        <v>0</v>
      </c>
      <c r="T89" s="116" t="str">
        <f>IF($C89&lt;&gt;"",SUMIFS('8. Uitgaven betaalverzoek'!$W:$W,'8. Uitgaven betaalverzoek'!$E:$E,$A89,'8. Uitgaven betaalverzoek'!$F:$F,$B89,'8. Uitgaven betaalverzoek'!$A:$A,Keuze_DB_Nr_BEO),"")</f>
        <v/>
      </c>
      <c r="U89" s="116" t="str">
        <f>IF($C89&lt;&gt;"",SUMIFS('8. Uitgaven betaalverzoek'!$X:$X,'8. Uitgaven betaalverzoek'!$E:$E,$A89,'8. Uitgaven betaalverzoek'!$F:$F,$B89,'8. Uitgaven betaalverzoek'!$A:$A,Keuze_DB_Nr_BEO),"")</f>
        <v/>
      </c>
      <c r="V89" s="116">
        <f t="shared" si="7"/>
        <v>0</v>
      </c>
      <c r="W89" s="116">
        <f t="shared" si="8"/>
        <v>0</v>
      </c>
    </row>
    <row r="90" spans="1:23" x14ac:dyDescent="0.25">
      <c r="A90" s="78"/>
      <c r="B90" s="78"/>
      <c r="C90" s="105" t="str" cm="1">
        <f t="array" ref="C90">IFERROR(INDEX(Tb_KostenOpties[],MATCH(B90,Tb_KostenOptiesDB[KostenOptie],0),IFERROR(MATCH(Methode_Keuze,Tb_KostenOptiesDB[#Headers],0),2)),"")</f>
        <v/>
      </c>
      <c r="D90" s="117">
        <f>IFERROR(INDEX(Tb_ProjectKosten[],MATCH($B90,Tb_ProjectKosten[Begroting],0),6),0)</f>
        <v>0</v>
      </c>
      <c r="E90" s="115">
        <f>SUMIFS('8. Uitgaven betaalverzoek'!$U:$U,'8. Uitgaven betaalverzoek'!$E:$E,$A90,'8. Uitgaven betaalverzoek'!$F:$F,$B90)</f>
        <v>0</v>
      </c>
      <c r="F90" s="115">
        <f>SUMIFS('8. Uitgaven betaalverzoek'!$V:$V,'8. Uitgaven betaalverzoek'!$E:$E,$A90,'8. Uitgaven betaalverzoek'!$F:$F,$B90)</f>
        <v>0</v>
      </c>
      <c r="G90" s="115" t="str">
        <f>IF(C90&lt;&gt;"",SUMIFS('8. Uitgaven betaalverzoek'!$W:$W,'8. Uitgaven betaalverzoek'!$E:$E,$A90,'8. Uitgaven betaalverzoek'!$F:$F,$B90),"")</f>
        <v/>
      </c>
      <c r="H90" s="115" t="str">
        <f>IF(C90&lt;&gt;"",SUMIFS('8. Uitgaven betaalverzoek'!$X:$X,'8. Uitgaven betaalverzoek'!$E:$E,$A90,'8. Uitgaven betaalverzoek'!$F:$F,$B90),"")</f>
        <v/>
      </c>
      <c r="I90" s="117" t="str">
        <f>IFERROR(VLOOKUP(A90,Lijsten!$AD:$AE,2,0),"")</f>
        <v/>
      </c>
      <c r="J90" s="115">
        <f t="shared" si="9"/>
        <v>0</v>
      </c>
      <c r="K90" s="115">
        <f t="shared" si="9"/>
        <v>0</v>
      </c>
      <c r="L90" s="115">
        <f>SUMIFS('8. Uitgaven betaalverzoek'!$U:$U,'8. Uitgaven betaalverzoek'!$E:$E,$A90,'8. Uitgaven betaalverzoek'!$F:$F,$B90,'8. Uitgaven betaalverzoek'!$A:$A,Keuze_DB_Nr)</f>
        <v>0</v>
      </c>
      <c r="M90" s="115">
        <f>SUMIFS('8. Uitgaven betaalverzoek'!$V:$V,'8. Uitgaven betaalverzoek'!$E:$E,$A90,'8. Uitgaven betaalverzoek'!$F:$F,$B90,'8. Uitgaven betaalverzoek'!$A:$A,Keuze_DB_Nr)</f>
        <v>0</v>
      </c>
      <c r="N90" s="115" t="str">
        <f>IF($C90&lt;&gt;"",SUMIFS('8. Uitgaven betaalverzoek'!$W:$W,'8. Uitgaven betaalverzoek'!$E:$E,$A90,'8. Uitgaven betaalverzoek'!$F:$F,$B90,'8. Uitgaven betaalverzoek'!$A:$A,Keuze_DB_Nr),"")</f>
        <v/>
      </c>
      <c r="O90" s="115" t="str">
        <f>IF($C90&lt;&gt;"",SUMIFS('8. Uitgaven betaalverzoek'!$X:$X,'8. Uitgaven betaalverzoek'!$E:$E,$A90,'8. Uitgaven betaalverzoek'!$F:$F,$B90,'8. Uitgaven betaalverzoek'!$A:$A,Keuze_DB_Nr),"")</f>
        <v/>
      </c>
      <c r="P90" s="115">
        <f t="shared" si="10"/>
        <v>0</v>
      </c>
      <c r="Q90" s="115">
        <f t="shared" si="11"/>
        <v>0</v>
      </c>
      <c r="R90" s="115">
        <f>SUMIFS('8. Uitgaven betaalverzoek'!$U:$U,'8. Uitgaven betaalverzoek'!$E:$E,$A90,'8. Uitgaven betaalverzoek'!$F:$F,$B90,'8. Uitgaven betaalverzoek'!$A:$A,Keuze_DB_Nr_BEO)</f>
        <v>0</v>
      </c>
      <c r="S90" s="115">
        <f>SUMIFS('8. Uitgaven betaalverzoek'!$V:$V,'8. Uitgaven betaalverzoek'!$E:$E,$A90,'8. Uitgaven betaalverzoek'!$F:$F,$B90,'8. Uitgaven betaalverzoek'!$A:$A,Keuze_DB_Nr_BEO)</f>
        <v>0</v>
      </c>
      <c r="T90" s="115" t="str">
        <f>IF($C90&lt;&gt;"",SUMIFS('8. Uitgaven betaalverzoek'!$W:$W,'8. Uitgaven betaalverzoek'!$E:$E,$A90,'8. Uitgaven betaalverzoek'!$F:$F,$B90,'8. Uitgaven betaalverzoek'!$A:$A,Keuze_DB_Nr_BEO),"")</f>
        <v/>
      </c>
      <c r="U90" s="115" t="str">
        <f>IF($C90&lt;&gt;"",SUMIFS('8. Uitgaven betaalverzoek'!$X:$X,'8. Uitgaven betaalverzoek'!$E:$E,$A90,'8. Uitgaven betaalverzoek'!$F:$F,$B90,'8. Uitgaven betaalverzoek'!$A:$A,Keuze_DB_Nr_BEO),"")</f>
        <v/>
      </c>
      <c r="V90" s="115">
        <f t="shared" si="7"/>
        <v>0</v>
      </c>
      <c r="W90" s="115">
        <f t="shared" si="8"/>
        <v>0</v>
      </c>
    </row>
    <row r="91" spans="1:23" x14ac:dyDescent="0.25">
      <c r="A91" s="18"/>
      <c r="B91" s="18"/>
      <c r="C91" s="106" t="str" cm="1">
        <f t="array" ref="C91">IFERROR(INDEX(Tb_KostenOpties[],MATCH(B91,Tb_KostenOptiesDB[KostenOptie],0),IFERROR(MATCH(Methode_Keuze,Tb_KostenOptiesDB[#Headers],0),2)),"")</f>
        <v/>
      </c>
      <c r="D91" s="118">
        <f>IFERROR(INDEX(Tb_ProjectKosten[],MATCH($B91,Tb_ProjectKosten[Begroting],0),6),0)</f>
        <v>0</v>
      </c>
      <c r="E91" s="116">
        <f>SUMIFS('8. Uitgaven betaalverzoek'!$U:$U,'8. Uitgaven betaalverzoek'!$E:$E,$A91,'8. Uitgaven betaalverzoek'!$F:$F,$B91)</f>
        <v>0</v>
      </c>
      <c r="F91" s="116">
        <f>SUMIFS('8. Uitgaven betaalverzoek'!$V:$V,'8. Uitgaven betaalverzoek'!$E:$E,$A91,'8. Uitgaven betaalverzoek'!$F:$F,$B91)</f>
        <v>0</v>
      </c>
      <c r="G91" s="116" t="str">
        <f>IF(C91&lt;&gt;"",SUMIFS('8. Uitgaven betaalverzoek'!$W:$W,'8. Uitgaven betaalverzoek'!$E:$E,$A91,'8. Uitgaven betaalverzoek'!$F:$F,$B91),"")</f>
        <v/>
      </c>
      <c r="H91" s="116" t="str">
        <f>IF(C91&lt;&gt;"",SUMIFS('8. Uitgaven betaalverzoek'!$X:$X,'8. Uitgaven betaalverzoek'!$E:$E,$A91,'8. Uitgaven betaalverzoek'!$F:$F,$B91),"")</f>
        <v/>
      </c>
      <c r="I91" s="118" t="str">
        <f>IFERROR(VLOOKUP(A91,Lijsten!$AD:$AE,2,0),"")</f>
        <v/>
      </c>
      <c r="J91" s="116">
        <f t="shared" si="9"/>
        <v>0</v>
      </c>
      <c r="K91" s="116">
        <f t="shared" si="9"/>
        <v>0</v>
      </c>
      <c r="L91" s="116">
        <f>SUMIFS('8. Uitgaven betaalverzoek'!$U:$U,'8. Uitgaven betaalverzoek'!$E:$E,$A91,'8. Uitgaven betaalverzoek'!$F:$F,$B91,'8. Uitgaven betaalverzoek'!$A:$A,Keuze_DB_Nr)</f>
        <v>0</v>
      </c>
      <c r="M91" s="116">
        <f>SUMIFS('8. Uitgaven betaalverzoek'!$V:$V,'8. Uitgaven betaalverzoek'!$E:$E,$A91,'8. Uitgaven betaalverzoek'!$F:$F,$B91,'8. Uitgaven betaalverzoek'!$A:$A,Keuze_DB_Nr)</f>
        <v>0</v>
      </c>
      <c r="N91" s="116" t="str">
        <f>IF($C91&lt;&gt;"",SUMIFS('8. Uitgaven betaalverzoek'!$W:$W,'8. Uitgaven betaalverzoek'!$E:$E,$A91,'8. Uitgaven betaalverzoek'!$F:$F,$B91,'8. Uitgaven betaalverzoek'!$A:$A,Keuze_DB_Nr),"")</f>
        <v/>
      </c>
      <c r="O91" s="116" t="str">
        <f>IF($C91&lt;&gt;"",SUMIFS('8. Uitgaven betaalverzoek'!$X:$X,'8. Uitgaven betaalverzoek'!$E:$E,$A91,'8. Uitgaven betaalverzoek'!$F:$F,$B91,'8. Uitgaven betaalverzoek'!$A:$A,Keuze_DB_Nr),"")</f>
        <v/>
      </c>
      <c r="P91" s="116">
        <f t="shared" si="10"/>
        <v>0</v>
      </c>
      <c r="Q91" s="116">
        <f t="shared" si="11"/>
        <v>0</v>
      </c>
      <c r="R91" s="116">
        <f>SUMIFS('8. Uitgaven betaalverzoek'!$U:$U,'8. Uitgaven betaalverzoek'!$E:$E,$A91,'8. Uitgaven betaalverzoek'!$F:$F,$B91,'8. Uitgaven betaalverzoek'!$A:$A,Keuze_DB_Nr_BEO)</f>
        <v>0</v>
      </c>
      <c r="S91" s="116">
        <f>SUMIFS('8. Uitgaven betaalverzoek'!$V:$V,'8. Uitgaven betaalverzoek'!$E:$E,$A91,'8. Uitgaven betaalverzoek'!$F:$F,$B91,'8. Uitgaven betaalverzoek'!$A:$A,Keuze_DB_Nr_BEO)</f>
        <v>0</v>
      </c>
      <c r="T91" s="116" t="str">
        <f>IF($C91&lt;&gt;"",SUMIFS('8. Uitgaven betaalverzoek'!$W:$W,'8. Uitgaven betaalverzoek'!$E:$E,$A91,'8. Uitgaven betaalverzoek'!$F:$F,$B91,'8. Uitgaven betaalverzoek'!$A:$A,Keuze_DB_Nr_BEO),"")</f>
        <v/>
      </c>
      <c r="U91" s="116" t="str">
        <f>IF($C91&lt;&gt;"",SUMIFS('8. Uitgaven betaalverzoek'!$X:$X,'8. Uitgaven betaalverzoek'!$E:$E,$A91,'8. Uitgaven betaalverzoek'!$F:$F,$B91,'8. Uitgaven betaalverzoek'!$A:$A,Keuze_DB_Nr_BEO),"")</f>
        <v/>
      </c>
      <c r="V91" s="116">
        <f t="shared" si="7"/>
        <v>0</v>
      </c>
      <c r="W91" s="116">
        <f t="shared" si="8"/>
        <v>0</v>
      </c>
    </row>
    <row r="92" spans="1:23" x14ac:dyDescent="0.25">
      <c r="A92" s="78"/>
      <c r="B92" s="78"/>
      <c r="C92" s="105" t="str" cm="1">
        <f t="array" ref="C92">IFERROR(INDEX(Tb_KostenOpties[],MATCH(B92,Tb_KostenOptiesDB[KostenOptie],0),IFERROR(MATCH(Methode_Keuze,Tb_KostenOptiesDB[#Headers],0),2)),"")</f>
        <v/>
      </c>
      <c r="D92" s="117">
        <f>IFERROR(INDEX(Tb_ProjectKosten[],MATCH($B92,Tb_ProjectKosten[Begroting],0),6),0)</f>
        <v>0</v>
      </c>
      <c r="E92" s="115">
        <f>SUMIFS('8. Uitgaven betaalverzoek'!$U:$U,'8. Uitgaven betaalverzoek'!$E:$E,$A92,'8. Uitgaven betaalverzoek'!$F:$F,$B92)</f>
        <v>0</v>
      </c>
      <c r="F92" s="115">
        <f>SUMIFS('8. Uitgaven betaalverzoek'!$V:$V,'8. Uitgaven betaalverzoek'!$E:$E,$A92,'8. Uitgaven betaalverzoek'!$F:$F,$B92)</f>
        <v>0</v>
      </c>
      <c r="G92" s="115" t="str">
        <f>IF(C92&lt;&gt;"",SUMIFS('8. Uitgaven betaalverzoek'!$W:$W,'8. Uitgaven betaalverzoek'!$E:$E,$A92,'8. Uitgaven betaalverzoek'!$F:$F,$B92),"")</f>
        <v/>
      </c>
      <c r="H92" s="115" t="str">
        <f>IF(C92&lt;&gt;"",SUMIFS('8. Uitgaven betaalverzoek'!$X:$X,'8. Uitgaven betaalverzoek'!$E:$E,$A92,'8. Uitgaven betaalverzoek'!$F:$F,$B92),"")</f>
        <v/>
      </c>
      <c r="I92" s="117" t="str">
        <f>IFERROR(VLOOKUP(A92,Lijsten!$AD:$AE,2,0),"")</f>
        <v/>
      </c>
      <c r="J92" s="115">
        <f t="shared" si="9"/>
        <v>0</v>
      </c>
      <c r="K92" s="115">
        <f t="shared" si="9"/>
        <v>0</v>
      </c>
      <c r="L92" s="115">
        <f>SUMIFS('8. Uitgaven betaalverzoek'!$U:$U,'8. Uitgaven betaalverzoek'!$E:$E,$A92,'8. Uitgaven betaalverzoek'!$F:$F,$B92,'8. Uitgaven betaalverzoek'!$A:$A,Keuze_DB_Nr)</f>
        <v>0</v>
      </c>
      <c r="M92" s="115">
        <f>SUMIFS('8. Uitgaven betaalverzoek'!$V:$V,'8. Uitgaven betaalverzoek'!$E:$E,$A92,'8. Uitgaven betaalverzoek'!$F:$F,$B92,'8. Uitgaven betaalverzoek'!$A:$A,Keuze_DB_Nr)</f>
        <v>0</v>
      </c>
      <c r="N92" s="115" t="str">
        <f>IF($C92&lt;&gt;"",SUMIFS('8. Uitgaven betaalverzoek'!$W:$W,'8. Uitgaven betaalverzoek'!$E:$E,$A92,'8. Uitgaven betaalverzoek'!$F:$F,$B92,'8. Uitgaven betaalverzoek'!$A:$A,Keuze_DB_Nr),"")</f>
        <v/>
      </c>
      <c r="O92" s="115" t="str">
        <f>IF($C92&lt;&gt;"",SUMIFS('8. Uitgaven betaalverzoek'!$X:$X,'8. Uitgaven betaalverzoek'!$E:$E,$A92,'8. Uitgaven betaalverzoek'!$F:$F,$B92,'8. Uitgaven betaalverzoek'!$A:$A,Keuze_DB_Nr),"")</f>
        <v/>
      </c>
      <c r="P92" s="115">
        <f t="shared" si="10"/>
        <v>0</v>
      </c>
      <c r="Q92" s="115">
        <f t="shared" si="11"/>
        <v>0</v>
      </c>
      <c r="R92" s="115">
        <f>SUMIFS('8. Uitgaven betaalverzoek'!$U:$U,'8. Uitgaven betaalverzoek'!$E:$E,$A92,'8. Uitgaven betaalverzoek'!$F:$F,$B92,'8. Uitgaven betaalverzoek'!$A:$A,Keuze_DB_Nr_BEO)</f>
        <v>0</v>
      </c>
      <c r="S92" s="115">
        <f>SUMIFS('8. Uitgaven betaalverzoek'!$V:$V,'8. Uitgaven betaalverzoek'!$E:$E,$A92,'8. Uitgaven betaalverzoek'!$F:$F,$B92,'8. Uitgaven betaalverzoek'!$A:$A,Keuze_DB_Nr_BEO)</f>
        <v>0</v>
      </c>
      <c r="T92" s="115" t="str">
        <f>IF($C92&lt;&gt;"",SUMIFS('8. Uitgaven betaalverzoek'!$W:$W,'8. Uitgaven betaalverzoek'!$E:$E,$A92,'8. Uitgaven betaalverzoek'!$F:$F,$B92,'8. Uitgaven betaalverzoek'!$A:$A,Keuze_DB_Nr_BEO),"")</f>
        <v/>
      </c>
      <c r="U92" s="115" t="str">
        <f>IF($C92&lt;&gt;"",SUMIFS('8. Uitgaven betaalverzoek'!$X:$X,'8. Uitgaven betaalverzoek'!$E:$E,$A92,'8. Uitgaven betaalverzoek'!$F:$F,$B92,'8. Uitgaven betaalverzoek'!$A:$A,Keuze_DB_Nr_BEO),"")</f>
        <v/>
      </c>
      <c r="V92" s="115">
        <f t="shared" si="7"/>
        <v>0</v>
      </c>
      <c r="W92" s="115">
        <f t="shared" si="8"/>
        <v>0</v>
      </c>
    </row>
    <row r="93" spans="1:23" x14ac:dyDescent="0.25">
      <c r="A93" s="18"/>
      <c r="B93" s="18"/>
      <c r="C93" s="106" t="str" cm="1">
        <f t="array" ref="C93">IFERROR(INDEX(Tb_KostenOpties[],MATCH(B93,Tb_KostenOptiesDB[KostenOptie],0),IFERROR(MATCH(Methode_Keuze,Tb_KostenOptiesDB[#Headers],0),2)),"")</f>
        <v/>
      </c>
      <c r="D93" s="118">
        <f>IFERROR(INDEX(Tb_ProjectKosten[],MATCH($B93,Tb_ProjectKosten[Begroting],0),6),0)</f>
        <v>0</v>
      </c>
      <c r="E93" s="116">
        <f>SUMIFS('8. Uitgaven betaalverzoek'!$U:$U,'8. Uitgaven betaalverzoek'!$E:$E,$A93,'8. Uitgaven betaalverzoek'!$F:$F,$B93)</f>
        <v>0</v>
      </c>
      <c r="F93" s="116">
        <f>SUMIFS('8. Uitgaven betaalverzoek'!$V:$V,'8. Uitgaven betaalverzoek'!$E:$E,$A93,'8. Uitgaven betaalverzoek'!$F:$F,$B93)</f>
        <v>0</v>
      </c>
      <c r="G93" s="116" t="str">
        <f>IF(C93&lt;&gt;"",SUMIFS('8. Uitgaven betaalverzoek'!$W:$W,'8. Uitgaven betaalverzoek'!$E:$E,$A93,'8. Uitgaven betaalverzoek'!$F:$F,$B93),"")</f>
        <v/>
      </c>
      <c r="H93" s="116" t="str">
        <f>IF(C93&lt;&gt;"",SUMIFS('8. Uitgaven betaalverzoek'!$X:$X,'8. Uitgaven betaalverzoek'!$E:$E,$A93,'8. Uitgaven betaalverzoek'!$F:$F,$B93),"")</f>
        <v/>
      </c>
      <c r="I93" s="118" t="str">
        <f>IFERROR(VLOOKUP(A93,Lijsten!$AD:$AE,2,0),"")</f>
        <v/>
      </c>
      <c r="J93" s="116">
        <f t="shared" si="9"/>
        <v>0</v>
      </c>
      <c r="K93" s="116">
        <f t="shared" si="9"/>
        <v>0</v>
      </c>
      <c r="L93" s="116">
        <f>SUMIFS('8. Uitgaven betaalverzoek'!$U:$U,'8. Uitgaven betaalverzoek'!$E:$E,$A93,'8. Uitgaven betaalverzoek'!$F:$F,$B93,'8. Uitgaven betaalverzoek'!$A:$A,Keuze_DB_Nr)</f>
        <v>0</v>
      </c>
      <c r="M93" s="116">
        <f>SUMIFS('8. Uitgaven betaalverzoek'!$V:$V,'8. Uitgaven betaalverzoek'!$E:$E,$A93,'8. Uitgaven betaalverzoek'!$F:$F,$B93,'8. Uitgaven betaalverzoek'!$A:$A,Keuze_DB_Nr)</f>
        <v>0</v>
      </c>
      <c r="N93" s="116" t="str">
        <f>IF($C93&lt;&gt;"",SUMIFS('8. Uitgaven betaalverzoek'!$W:$W,'8. Uitgaven betaalverzoek'!$E:$E,$A93,'8. Uitgaven betaalverzoek'!$F:$F,$B93,'8. Uitgaven betaalverzoek'!$A:$A,Keuze_DB_Nr),"")</f>
        <v/>
      </c>
      <c r="O93" s="116" t="str">
        <f>IF($C93&lt;&gt;"",SUMIFS('8. Uitgaven betaalverzoek'!$X:$X,'8. Uitgaven betaalverzoek'!$E:$E,$A93,'8. Uitgaven betaalverzoek'!$F:$F,$B93,'8. Uitgaven betaalverzoek'!$A:$A,Keuze_DB_Nr),"")</f>
        <v/>
      </c>
      <c r="P93" s="116">
        <f t="shared" si="10"/>
        <v>0</v>
      </c>
      <c r="Q93" s="116">
        <f t="shared" si="11"/>
        <v>0</v>
      </c>
      <c r="R93" s="116">
        <f>SUMIFS('8. Uitgaven betaalverzoek'!$U:$U,'8. Uitgaven betaalverzoek'!$E:$E,$A93,'8. Uitgaven betaalverzoek'!$F:$F,$B93,'8. Uitgaven betaalverzoek'!$A:$A,Keuze_DB_Nr_BEO)</f>
        <v>0</v>
      </c>
      <c r="S93" s="116">
        <f>SUMIFS('8. Uitgaven betaalverzoek'!$V:$V,'8. Uitgaven betaalverzoek'!$E:$E,$A93,'8. Uitgaven betaalverzoek'!$F:$F,$B93,'8. Uitgaven betaalverzoek'!$A:$A,Keuze_DB_Nr_BEO)</f>
        <v>0</v>
      </c>
      <c r="T93" s="116" t="str">
        <f>IF($C93&lt;&gt;"",SUMIFS('8. Uitgaven betaalverzoek'!$W:$W,'8. Uitgaven betaalverzoek'!$E:$E,$A93,'8. Uitgaven betaalverzoek'!$F:$F,$B93,'8. Uitgaven betaalverzoek'!$A:$A,Keuze_DB_Nr_BEO),"")</f>
        <v/>
      </c>
      <c r="U93" s="116" t="str">
        <f>IF($C93&lt;&gt;"",SUMIFS('8. Uitgaven betaalverzoek'!$X:$X,'8. Uitgaven betaalverzoek'!$E:$E,$A93,'8. Uitgaven betaalverzoek'!$F:$F,$B93,'8. Uitgaven betaalverzoek'!$A:$A,Keuze_DB_Nr_BEO),"")</f>
        <v/>
      </c>
      <c r="V93" s="116">
        <f t="shared" si="7"/>
        <v>0</v>
      </c>
      <c r="W93" s="116">
        <f t="shared" si="8"/>
        <v>0</v>
      </c>
    </row>
    <row r="94" spans="1:23" x14ac:dyDescent="0.25">
      <c r="A94" s="78"/>
      <c r="B94" s="78"/>
      <c r="C94" s="105" t="str" cm="1">
        <f t="array" ref="C94">IFERROR(INDEX(Tb_KostenOpties[],MATCH(B94,Tb_KostenOptiesDB[KostenOptie],0),IFERROR(MATCH(Methode_Keuze,Tb_KostenOptiesDB[#Headers],0),2)),"")</f>
        <v/>
      </c>
      <c r="D94" s="117">
        <f>IFERROR(INDEX(Tb_ProjectKosten[],MATCH($B94,Tb_ProjectKosten[Begroting],0),6),0)</f>
        <v>0</v>
      </c>
      <c r="E94" s="115">
        <f>SUMIFS('8. Uitgaven betaalverzoek'!$U:$U,'8. Uitgaven betaalverzoek'!$E:$E,$A94,'8. Uitgaven betaalverzoek'!$F:$F,$B94)</f>
        <v>0</v>
      </c>
      <c r="F94" s="115">
        <f>SUMIFS('8. Uitgaven betaalverzoek'!$V:$V,'8. Uitgaven betaalverzoek'!$E:$E,$A94,'8. Uitgaven betaalverzoek'!$F:$F,$B94)</f>
        <v>0</v>
      </c>
      <c r="G94" s="115" t="str">
        <f>IF(C94&lt;&gt;"",SUMIFS('8. Uitgaven betaalverzoek'!$W:$W,'8. Uitgaven betaalverzoek'!$E:$E,$A94,'8. Uitgaven betaalverzoek'!$F:$F,$B94),"")</f>
        <v/>
      </c>
      <c r="H94" s="115" t="str">
        <f>IF(C94&lt;&gt;"",SUMIFS('8. Uitgaven betaalverzoek'!$X:$X,'8. Uitgaven betaalverzoek'!$E:$E,$A94,'8. Uitgaven betaalverzoek'!$F:$F,$B94),"")</f>
        <v/>
      </c>
      <c r="I94" s="117" t="str">
        <f>IFERROR(VLOOKUP(A94,Lijsten!$AD:$AE,2,0),"")</f>
        <v/>
      </c>
      <c r="J94" s="115">
        <f t="shared" si="9"/>
        <v>0</v>
      </c>
      <c r="K94" s="115">
        <f t="shared" si="9"/>
        <v>0</v>
      </c>
      <c r="L94" s="115">
        <f>SUMIFS('8. Uitgaven betaalverzoek'!$U:$U,'8. Uitgaven betaalverzoek'!$E:$E,$A94,'8. Uitgaven betaalverzoek'!$F:$F,$B94,'8. Uitgaven betaalverzoek'!$A:$A,Keuze_DB_Nr)</f>
        <v>0</v>
      </c>
      <c r="M94" s="115">
        <f>SUMIFS('8. Uitgaven betaalverzoek'!$V:$V,'8. Uitgaven betaalverzoek'!$E:$E,$A94,'8. Uitgaven betaalverzoek'!$F:$F,$B94,'8. Uitgaven betaalverzoek'!$A:$A,Keuze_DB_Nr)</f>
        <v>0</v>
      </c>
      <c r="N94" s="115" t="str">
        <f>IF($C94&lt;&gt;"",SUMIFS('8. Uitgaven betaalverzoek'!$W:$W,'8. Uitgaven betaalverzoek'!$E:$E,$A94,'8. Uitgaven betaalverzoek'!$F:$F,$B94,'8. Uitgaven betaalverzoek'!$A:$A,Keuze_DB_Nr),"")</f>
        <v/>
      </c>
      <c r="O94" s="115" t="str">
        <f>IF($C94&lt;&gt;"",SUMIFS('8. Uitgaven betaalverzoek'!$X:$X,'8. Uitgaven betaalverzoek'!$E:$E,$A94,'8. Uitgaven betaalverzoek'!$F:$F,$B94,'8. Uitgaven betaalverzoek'!$A:$A,Keuze_DB_Nr),"")</f>
        <v/>
      </c>
      <c r="P94" s="115">
        <f t="shared" si="10"/>
        <v>0</v>
      </c>
      <c r="Q94" s="115">
        <f t="shared" si="11"/>
        <v>0</v>
      </c>
      <c r="R94" s="115">
        <f>SUMIFS('8. Uitgaven betaalverzoek'!$U:$U,'8. Uitgaven betaalverzoek'!$E:$E,$A94,'8. Uitgaven betaalverzoek'!$F:$F,$B94,'8. Uitgaven betaalverzoek'!$A:$A,Keuze_DB_Nr_BEO)</f>
        <v>0</v>
      </c>
      <c r="S94" s="115">
        <f>SUMIFS('8. Uitgaven betaalverzoek'!$V:$V,'8. Uitgaven betaalverzoek'!$E:$E,$A94,'8. Uitgaven betaalverzoek'!$F:$F,$B94,'8. Uitgaven betaalverzoek'!$A:$A,Keuze_DB_Nr_BEO)</f>
        <v>0</v>
      </c>
      <c r="T94" s="115" t="str">
        <f>IF($C94&lt;&gt;"",SUMIFS('8. Uitgaven betaalverzoek'!$W:$W,'8. Uitgaven betaalverzoek'!$E:$E,$A94,'8. Uitgaven betaalverzoek'!$F:$F,$B94,'8. Uitgaven betaalverzoek'!$A:$A,Keuze_DB_Nr_BEO),"")</f>
        <v/>
      </c>
      <c r="U94" s="115" t="str">
        <f>IF($C94&lt;&gt;"",SUMIFS('8. Uitgaven betaalverzoek'!$X:$X,'8. Uitgaven betaalverzoek'!$E:$E,$A94,'8. Uitgaven betaalverzoek'!$F:$F,$B94,'8. Uitgaven betaalverzoek'!$A:$A,Keuze_DB_Nr_BEO),"")</f>
        <v/>
      </c>
      <c r="V94" s="115">
        <f t="shared" si="7"/>
        <v>0</v>
      </c>
      <c r="W94" s="115">
        <f t="shared" si="8"/>
        <v>0</v>
      </c>
    </row>
    <row r="95" spans="1:23" x14ac:dyDescent="0.25">
      <c r="A95" s="18"/>
      <c r="B95" s="18"/>
      <c r="C95" s="106" t="str" cm="1">
        <f t="array" ref="C95">IFERROR(INDEX(Tb_KostenOpties[],MATCH(B95,Tb_KostenOptiesDB[KostenOptie],0),IFERROR(MATCH(Methode_Keuze,Tb_KostenOptiesDB[#Headers],0),2)),"")</f>
        <v/>
      </c>
      <c r="D95" s="118">
        <f>IFERROR(INDEX(Tb_ProjectKosten[],MATCH($B95,Tb_ProjectKosten[Begroting],0),6),0)</f>
        <v>0</v>
      </c>
      <c r="E95" s="116">
        <f>SUMIFS('8. Uitgaven betaalverzoek'!$U:$U,'8. Uitgaven betaalverzoek'!$E:$E,$A95,'8. Uitgaven betaalverzoek'!$F:$F,$B95)</f>
        <v>0</v>
      </c>
      <c r="F95" s="116">
        <f>SUMIFS('8. Uitgaven betaalverzoek'!$V:$V,'8. Uitgaven betaalverzoek'!$E:$E,$A95,'8. Uitgaven betaalverzoek'!$F:$F,$B95)</f>
        <v>0</v>
      </c>
      <c r="G95" s="116" t="str">
        <f>IF(C95&lt;&gt;"",SUMIFS('8. Uitgaven betaalverzoek'!$W:$W,'8. Uitgaven betaalverzoek'!$E:$E,$A95,'8. Uitgaven betaalverzoek'!$F:$F,$B95),"")</f>
        <v/>
      </c>
      <c r="H95" s="116" t="str">
        <f>IF(C95&lt;&gt;"",SUMIFS('8. Uitgaven betaalverzoek'!$X:$X,'8. Uitgaven betaalverzoek'!$E:$E,$A95,'8. Uitgaven betaalverzoek'!$F:$F,$B95),"")</f>
        <v/>
      </c>
      <c r="I95" s="118" t="str">
        <f>IFERROR(VLOOKUP(A95,Lijsten!$AD:$AE,2,0),"")</f>
        <v/>
      </c>
      <c r="J95" s="116">
        <f t="shared" si="9"/>
        <v>0</v>
      </c>
      <c r="K95" s="116">
        <f t="shared" si="9"/>
        <v>0</v>
      </c>
      <c r="L95" s="116">
        <f>SUMIFS('8. Uitgaven betaalverzoek'!$U:$U,'8. Uitgaven betaalverzoek'!$E:$E,$A95,'8. Uitgaven betaalverzoek'!$F:$F,$B95,'8. Uitgaven betaalverzoek'!$A:$A,Keuze_DB_Nr)</f>
        <v>0</v>
      </c>
      <c r="M95" s="116">
        <f>SUMIFS('8. Uitgaven betaalverzoek'!$V:$V,'8. Uitgaven betaalverzoek'!$E:$E,$A95,'8. Uitgaven betaalverzoek'!$F:$F,$B95,'8. Uitgaven betaalverzoek'!$A:$A,Keuze_DB_Nr)</f>
        <v>0</v>
      </c>
      <c r="N95" s="116" t="str">
        <f>IF($C95&lt;&gt;"",SUMIFS('8. Uitgaven betaalverzoek'!$W:$W,'8. Uitgaven betaalverzoek'!$E:$E,$A95,'8. Uitgaven betaalverzoek'!$F:$F,$B95,'8. Uitgaven betaalverzoek'!$A:$A,Keuze_DB_Nr),"")</f>
        <v/>
      </c>
      <c r="O95" s="116" t="str">
        <f>IF($C95&lt;&gt;"",SUMIFS('8. Uitgaven betaalverzoek'!$X:$X,'8. Uitgaven betaalverzoek'!$E:$E,$A95,'8. Uitgaven betaalverzoek'!$F:$F,$B95,'8. Uitgaven betaalverzoek'!$A:$A,Keuze_DB_Nr),"")</f>
        <v/>
      </c>
      <c r="P95" s="116">
        <f t="shared" si="10"/>
        <v>0</v>
      </c>
      <c r="Q95" s="116">
        <f t="shared" si="11"/>
        <v>0</v>
      </c>
      <c r="R95" s="116">
        <f>SUMIFS('8. Uitgaven betaalverzoek'!$U:$U,'8. Uitgaven betaalverzoek'!$E:$E,$A95,'8. Uitgaven betaalverzoek'!$F:$F,$B95,'8. Uitgaven betaalverzoek'!$A:$A,Keuze_DB_Nr_BEO)</f>
        <v>0</v>
      </c>
      <c r="S95" s="116">
        <f>SUMIFS('8. Uitgaven betaalverzoek'!$V:$V,'8. Uitgaven betaalverzoek'!$E:$E,$A95,'8. Uitgaven betaalverzoek'!$F:$F,$B95,'8. Uitgaven betaalverzoek'!$A:$A,Keuze_DB_Nr_BEO)</f>
        <v>0</v>
      </c>
      <c r="T95" s="116" t="str">
        <f>IF($C95&lt;&gt;"",SUMIFS('8. Uitgaven betaalverzoek'!$W:$W,'8. Uitgaven betaalverzoek'!$E:$E,$A95,'8. Uitgaven betaalverzoek'!$F:$F,$B95,'8. Uitgaven betaalverzoek'!$A:$A,Keuze_DB_Nr_BEO),"")</f>
        <v/>
      </c>
      <c r="U95" s="116" t="str">
        <f>IF($C95&lt;&gt;"",SUMIFS('8. Uitgaven betaalverzoek'!$X:$X,'8. Uitgaven betaalverzoek'!$E:$E,$A95,'8. Uitgaven betaalverzoek'!$F:$F,$B95,'8. Uitgaven betaalverzoek'!$A:$A,Keuze_DB_Nr_BEO),"")</f>
        <v/>
      </c>
      <c r="V95" s="116">
        <f t="shared" si="7"/>
        <v>0</v>
      </c>
      <c r="W95" s="116">
        <f t="shared" si="8"/>
        <v>0</v>
      </c>
    </row>
    <row r="96" spans="1:23" x14ac:dyDescent="0.25">
      <c r="A96" s="78"/>
      <c r="B96" s="78"/>
      <c r="C96" s="105" t="str" cm="1">
        <f t="array" ref="C96">IFERROR(INDEX(Tb_KostenOpties[],MATCH(B96,Tb_KostenOptiesDB[KostenOptie],0),IFERROR(MATCH(Methode_Keuze,Tb_KostenOptiesDB[#Headers],0),2)),"")</f>
        <v/>
      </c>
      <c r="D96" s="117">
        <f>IFERROR(INDEX(Tb_ProjectKosten[],MATCH($B96,Tb_ProjectKosten[Begroting],0),6),0)</f>
        <v>0</v>
      </c>
      <c r="E96" s="115">
        <f>SUMIFS('8. Uitgaven betaalverzoek'!$U:$U,'8. Uitgaven betaalverzoek'!$E:$E,$A96,'8. Uitgaven betaalverzoek'!$F:$F,$B96)</f>
        <v>0</v>
      </c>
      <c r="F96" s="115">
        <f>SUMIFS('8. Uitgaven betaalverzoek'!$V:$V,'8. Uitgaven betaalverzoek'!$E:$E,$A96,'8. Uitgaven betaalverzoek'!$F:$F,$B96)</f>
        <v>0</v>
      </c>
      <c r="G96" s="115" t="str">
        <f>IF(C96&lt;&gt;"",SUMIFS('8. Uitgaven betaalverzoek'!$W:$W,'8. Uitgaven betaalverzoek'!$E:$E,$A96,'8. Uitgaven betaalverzoek'!$F:$F,$B96),"")</f>
        <v/>
      </c>
      <c r="H96" s="115" t="str">
        <f>IF(C96&lt;&gt;"",SUMIFS('8. Uitgaven betaalverzoek'!$X:$X,'8. Uitgaven betaalverzoek'!$E:$E,$A96,'8. Uitgaven betaalverzoek'!$F:$F,$B96),"")</f>
        <v/>
      </c>
      <c r="I96" s="117" t="str">
        <f>IFERROR(VLOOKUP(A96,Lijsten!$AD:$AE,2,0),"")</f>
        <v/>
      </c>
      <c r="J96" s="115">
        <f t="shared" si="9"/>
        <v>0</v>
      </c>
      <c r="K96" s="115">
        <f t="shared" si="9"/>
        <v>0</v>
      </c>
      <c r="L96" s="115">
        <f>SUMIFS('8. Uitgaven betaalverzoek'!$U:$U,'8. Uitgaven betaalverzoek'!$E:$E,$A96,'8. Uitgaven betaalverzoek'!$F:$F,$B96,'8. Uitgaven betaalverzoek'!$A:$A,Keuze_DB_Nr)</f>
        <v>0</v>
      </c>
      <c r="M96" s="115">
        <f>SUMIFS('8. Uitgaven betaalverzoek'!$V:$V,'8. Uitgaven betaalverzoek'!$E:$E,$A96,'8. Uitgaven betaalverzoek'!$F:$F,$B96,'8. Uitgaven betaalverzoek'!$A:$A,Keuze_DB_Nr)</f>
        <v>0</v>
      </c>
      <c r="N96" s="115" t="str">
        <f>IF($C96&lt;&gt;"",SUMIFS('8. Uitgaven betaalverzoek'!$W:$W,'8. Uitgaven betaalverzoek'!$E:$E,$A96,'8. Uitgaven betaalverzoek'!$F:$F,$B96,'8. Uitgaven betaalverzoek'!$A:$A,Keuze_DB_Nr),"")</f>
        <v/>
      </c>
      <c r="O96" s="115" t="str">
        <f>IF($C96&lt;&gt;"",SUMIFS('8. Uitgaven betaalverzoek'!$X:$X,'8. Uitgaven betaalverzoek'!$E:$E,$A96,'8. Uitgaven betaalverzoek'!$F:$F,$B96,'8. Uitgaven betaalverzoek'!$A:$A,Keuze_DB_Nr),"")</f>
        <v/>
      </c>
      <c r="P96" s="115">
        <f t="shared" si="10"/>
        <v>0</v>
      </c>
      <c r="Q96" s="115">
        <f t="shared" si="11"/>
        <v>0</v>
      </c>
      <c r="R96" s="115">
        <f>SUMIFS('8. Uitgaven betaalverzoek'!$U:$U,'8. Uitgaven betaalverzoek'!$E:$E,$A96,'8. Uitgaven betaalverzoek'!$F:$F,$B96,'8. Uitgaven betaalverzoek'!$A:$A,Keuze_DB_Nr_BEO)</f>
        <v>0</v>
      </c>
      <c r="S96" s="115">
        <f>SUMIFS('8. Uitgaven betaalverzoek'!$V:$V,'8. Uitgaven betaalverzoek'!$E:$E,$A96,'8. Uitgaven betaalverzoek'!$F:$F,$B96,'8. Uitgaven betaalverzoek'!$A:$A,Keuze_DB_Nr_BEO)</f>
        <v>0</v>
      </c>
      <c r="T96" s="115" t="str">
        <f>IF($C96&lt;&gt;"",SUMIFS('8. Uitgaven betaalverzoek'!$W:$W,'8. Uitgaven betaalverzoek'!$E:$E,$A96,'8. Uitgaven betaalverzoek'!$F:$F,$B96,'8. Uitgaven betaalverzoek'!$A:$A,Keuze_DB_Nr_BEO),"")</f>
        <v/>
      </c>
      <c r="U96" s="115" t="str">
        <f>IF($C96&lt;&gt;"",SUMIFS('8. Uitgaven betaalverzoek'!$X:$X,'8. Uitgaven betaalverzoek'!$E:$E,$A96,'8. Uitgaven betaalverzoek'!$F:$F,$B96,'8. Uitgaven betaalverzoek'!$A:$A,Keuze_DB_Nr_BEO),"")</f>
        <v/>
      </c>
      <c r="V96" s="115">
        <f t="shared" si="7"/>
        <v>0</v>
      </c>
      <c r="W96" s="115">
        <f t="shared" si="8"/>
        <v>0</v>
      </c>
    </row>
    <row r="97" spans="1:23" x14ac:dyDescent="0.25">
      <c r="A97" s="18"/>
      <c r="B97" s="18"/>
      <c r="C97" s="106" t="str" cm="1">
        <f t="array" ref="C97">IFERROR(INDEX(Tb_KostenOpties[],MATCH(B97,Tb_KostenOptiesDB[KostenOptie],0),IFERROR(MATCH(Methode_Keuze,Tb_KostenOptiesDB[#Headers],0),2)),"")</f>
        <v/>
      </c>
      <c r="D97" s="118">
        <f>IFERROR(INDEX(Tb_ProjectKosten[],MATCH($B97,Tb_ProjectKosten[Begroting],0),6),0)</f>
        <v>0</v>
      </c>
      <c r="E97" s="116">
        <f>SUMIFS('8. Uitgaven betaalverzoek'!$U:$U,'8. Uitgaven betaalverzoek'!$E:$E,$A97,'8. Uitgaven betaalverzoek'!$F:$F,$B97)</f>
        <v>0</v>
      </c>
      <c r="F97" s="116">
        <f>SUMIFS('8. Uitgaven betaalverzoek'!$V:$V,'8. Uitgaven betaalverzoek'!$E:$E,$A97,'8. Uitgaven betaalverzoek'!$F:$F,$B97)</f>
        <v>0</v>
      </c>
      <c r="G97" s="116" t="str">
        <f>IF(C97&lt;&gt;"",SUMIFS('8. Uitgaven betaalverzoek'!$W:$W,'8. Uitgaven betaalverzoek'!$E:$E,$A97,'8. Uitgaven betaalverzoek'!$F:$F,$B97),"")</f>
        <v/>
      </c>
      <c r="H97" s="116" t="str">
        <f>IF(C97&lt;&gt;"",SUMIFS('8. Uitgaven betaalverzoek'!$X:$X,'8. Uitgaven betaalverzoek'!$E:$E,$A97,'8. Uitgaven betaalverzoek'!$F:$F,$B97),"")</f>
        <v/>
      </c>
      <c r="I97" s="118" t="str">
        <f>IFERROR(VLOOKUP(A97,Lijsten!$AD:$AE,2,0),"")</f>
        <v/>
      </c>
      <c r="J97" s="116">
        <f t="shared" si="9"/>
        <v>0</v>
      </c>
      <c r="K97" s="116">
        <f t="shared" si="9"/>
        <v>0</v>
      </c>
      <c r="L97" s="116">
        <f>SUMIFS('8. Uitgaven betaalverzoek'!$U:$U,'8. Uitgaven betaalverzoek'!$E:$E,$A97,'8. Uitgaven betaalverzoek'!$F:$F,$B97,'8. Uitgaven betaalverzoek'!$A:$A,Keuze_DB_Nr)</f>
        <v>0</v>
      </c>
      <c r="M97" s="116">
        <f>SUMIFS('8. Uitgaven betaalverzoek'!$V:$V,'8. Uitgaven betaalverzoek'!$E:$E,$A97,'8. Uitgaven betaalverzoek'!$F:$F,$B97,'8. Uitgaven betaalverzoek'!$A:$A,Keuze_DB_Nr)</f>
        <v>0</v>
      </c>
      <c r="N97" s="116" t="str">
        <f>IF($C97&lt;&gt;"",SUMIFS('8. Uitgaven betaalverzoek'!$W:$W,'8. Uitgaven betaalverzoek'!$E:$E,$A97,'8. Uitgaven betaalverzoek'!$F:$F,$B97,'8. Uitgaven betaalverzoek'!$A:$A,Keuze_DB_Nr),"")</f>
        <v/>
      </c>
      <c r="O97" s="116" t="str">
        <f>IF($C97&lt;&gt;"",SUMIFS('8. Uitgaven betaalverzoek'!$X:$X,'8. Uitgaven betaalverzoek'!$E:$E,$A97,'8. Uitgaven betaalverzoek'!$F:$F,$B97,'8. Uitgaven betaalverzoek'!$A:$A,Keuze_DB_Nr),"")</f>
        <v/>
      </c>
      <c r="P97" s="116">
        <f t="shared" si="10"/>
        <v>0</v>
      </c>
      <c r="Q97" s="116">
        <f t="shared" si="11"/>
        <v>0</v>
      </c>
      <c r="R97" s="116">
        <f>SUMIFS('8. Uitgaven betaalverzoek'!$U:$U,'8. Uitgaven betaalverzoek'!$E:$E,$A97,'8. Uitgaven betaalverzoek'!$F:$F,$B97,'8. Uitgaven betaalverzoek'!$A:$A,Keuze_DB_Nr_BEO)</f>
        <v>0</v>
      </c>
      <c r="S97" s="116">
        <f>SUMIFS('8. Uitgaven betaalverzoek'!$V:$V,'8. Uitgaven betaalverzoek'!$E:$E,$A97,'8. Uitgaven betaalverzoek'!$F:$F,$B97,'8. Uitgaven betaalverzoek'!$A:$A,Keuze_DB_Nr_BEO)</f>
        <v>0</v>
      </c>
      <c r="T97" s="116" t="str">
        <f>IF($C97&lt;&gt;"",SUMIFS('8. Uitgaven betaalverzoek'!$W:$W,'8. Uitgaven betaalverzoek'!$E:$E,$A97,'8. Uitgaven betaalverzoek'!$F:$F,$B97,'8. Uitgaven betaalverzoek'!$A:$A,Keuze_DB_Nr_BEO),"")</f>
        <v/>
      </c>
      <c r="U97" s="116" t="str">
        <f>IF($C97&lt;&gt;"",SUMIFS('8. Uitgaven betaalverzoek'!$X:$X,'8. Uitgaven betaalverzoek'!$E:$E,$A97,'8. Uitgaven betaalverzoek'!$F:$F,$B97,'8. Uitgaven betaalverzoek'!$A:$A,Keuze_DB_Nr_BEO),"")</f>
        <v/>
      </c>
      <c r="V97" s="116">
        <f t="shared" si="7"/>
        <v>0</v>
      </c>
      <c r="W97" s="116">
        <f t="shared" si="8"/>
        <v>0</v>
      </c>
    </row>
    <row r="98" spans="1:23" x14ac:dyDescent="0.25">
      <c r="A98" s="78"/>
      <c r="B98" s="78"/>
      <c r="C98" s="105" t="str" cm="1">
        <f t="array" ref="C98">IFERROR(INDEX(Tb_KostenOpties[],MATCH(B98,Tb_KostenOptiesDB[KostenOptie],0),IFERROR(MATCH(Methode_Keuze,Tb_KostenOptiesDB[#Headers],0),2)),"")</f>
        <v/>
      </c>
      <c r="D98" s="117">
        <f>IFERROR(INDEX(Tb_ProjectKosten[],MATCH($B98,Tb_ProjectKosten[Begroting],0),6),0)</f>
        <v>0</v>
      </c>
      <c r="E98" s="115">
        <f>SUMIFS('8. Uitgaven betaalverzoek'!$U:$U,'8. Uitgaven betaalverzoek'!$E:$E,$A98,'8. Uitgaven betaalverzoek'!$F:$F,$B98)</f>
        <v>0</v>
      </c>
      <c r="F98" s="115">
        <f>SUMIFS('8. Uitgaven betaalverzoek'!$V:$V,'8. Uitgaven betaalverzoek'!$E:$E,$A98,'8. Uitgaven betaalverzoek'!$F:$F,$B98)</f>
        <v>0</v>
      </c>
      <c r="G98" s="115" t="str">
        <f>IF(C98&lt;&gt;"",SUMIFS('8. Uitgaven betaalverzoek'!$W:$W,'8. Uitgaven betaalverzoek'!$E:$E,$A98,'8. Uitgaven betaalverzoek'!$F:$F,$B98),"")</f>
        <v/>
      </c>
      <c r="H98" s="115" t="str">
        <f>IF(C98&lt;&gt;"",SUMIFS('8. Uitgaven betaalverzoek'!$X:$X,'8. Uitgaven betaalverzoek'!$E:$E,$A98,'8. Uitgaven betaalverzoek'!$F:$F,$B98),"")</f>
        <v/>
      </c>
      <c r="I98" s="117" t="str">
        <f>IFERROR(VLOOKUP(A98,Lijsten!$AD:$AE,2,0),"")</f>
        <v/>
      </c>
      <c r="J98" s="115">
        <f t="shared" si="9"/>
        <v>0</v>
      </c>
      <c r="K98" s="115">
        <f t="shared" si="9"/>
        <v>0</v>
      </c>
      <c r="L98" s="115">
        <f>SUMIFS('8. Uitgaven betaalverzoek'!$U:$U,'8. Uitgaven betaalverzoek'!$E:$E,$A98,'8. Uitgaven betaalverzoek'!$F:$F,$B98,'8. Uitgaven betaalverzoek'!$A:$A,Keuze_DB_Nr)</f>
        <v>0</v>
      </c>
      <c r="M98" s="115">
        <f>SUMIFS('8. Uitgaven betaalverzoek'!$V:$V,'8. Uitgaven betaalverzoek'!$E:$E,$A98,'8. Uitgaven betaalverzoek'!$F:$F,$B98,'8. Uitgaven betaalverzoek'!$A:$A,Keuze_DB_Nr)</f>
        <v>0</v>
      </c>
      <c r="N98" s="115" t="str">
        <f>IF($C98&lt;&gt;"",SUMIFS('8. Uitgaven betaalverzoek'!$W:$W,'8. Uitgaven betaalverzoek'!$E:$E,$A98,'8. Uitgaven betaalverzoek'!$F:$F,$B98,'8. Uitgaven betaalverzoek'!$A:$A,Keuze_DB_Nr),"")</f>
        <v/>
      </c>
      <c r="O98" s="115" t="str">
        <f>IF($C98&lt;&gt;"",SUMIFS('8. Uitgaven betaalverzoek'!$X:$X,'8. Uitgaven betaalverzoek'!$E:$E,$A98,'8. Uitgaven betaalverzoek'!$F:$F,$B98,'8. Uitgaven betaalverzoek'!$A:$A,Keuze_DB_Nr),"")</f>
        <v/>
      </c>
      <c r="P98" s="115">
        <f t="shared" si="10"/>
        <v>0</v>
      </c>
      <c r="Q98" s="115">
        <f t="shared" si="11"/>
        <v>0</v>
      </c>
      <c r="R98" s="115">
        <f>SUMIFS('8. Uitgaven betaalverzoek'!$U:$U,'8. Uitgaven betaalverzoek'!$E:$E,$A98,'8. Uitgaven betaalverzoek'!$F:$F,$B98,'8. Uitgaven betaalverzoek'!$A:$A,Keuze_DB_Nr_BEO)</f>
        <v>0</v>
      </c>
      <c r="S98" s="115">
        <f>SUMIFS('8. Uitgaven betaalverzoek'!$V:$V,'8. Uitgaven betaalverzoek'!$E:$E,$A98,'8. Uitgaven betaalverzoek'!$F:$F,$B98,'8. Uitgaven betaalverzoek'!$A:$A,Keuze_DB_Nr_BEO)</f>
        <v>0</v>
      </c>
      <c r="T98" s="115" t="str">
        <f>IF($C98&lt;&gt;"",SUMIFS('8. Uitgaven betaalverzoek'!$W:$W,'8. Uitgaven betaalverzoek'!$E:$E,$A98,'8. Uitgaven betaalverzoek'!$F:$F,$B98,'8. Uitgaven betaalverzoek'!$A:$A,Keuze_DB_Nr_BEO),"")</f>
        <v/>
      </c>
      <c r="U98" s="115" t="str">
        <f>IF($C98&lt;&gt;"",SUMIFS('8. Uitgaven betaalverzoek'!$X:$X,'8. Uitgaven betaalverzoek'!$E:$E,$A98,'8. Uitgaven betaalverzoek'!$F:$F,$B98,'8. Uitgaven betaalverzoek'!$A:$A,Keuze_DB_Nr_BEO),"")</f>
        <v/>
      </c>
      <c r="V98" s="115">
        <f t="shared" si="7"/>
        <v>0</v>
      </c>
      <c r="W98" s="115">
        <f t="shared" si="8"/>
        <v>0</v>
      </c>
    </row>
    <row r="99" spans="1:23" x14ac:dyDescent="0.25">
      <c r="A99" s="18"/>
      <c r="B99" s="18"/>
      <c r="C99" s="106" t="str" cm="1">
        <f t="array" ref="C99">IFERROR(INDEX(Tb_KostenOpties[],MATCH(B99,Tb_KostenOptiesDB[KostenOptie],0),IFERROR(MATCH(Methode_Keuze,Tb_KostenOptiesDB[#Headers],0),2)),"")</f>
        <v/>
      </c>
      <c r="D99" s="118">
        <f>IFERROR(INDEX(Tb_ProjectKosten[],MATCH($B99,Tb_ProjectKosten[Begroting],0),6),0)</f>
        <v>0</v>
      </c>
      <c r="E99" s="116">
        <f>SUMIFS('8. Uitgaven betaalverzoek'!$U:$U,'8. Uitgaven betaalverzoek'!$E:$E,$A99,'8. Uitgaven betaalverzoek'!$F:$F,$B99)</f>
        <v>0</v>
      </c>
      <c r="F99" s="116">
        <f>SUMIFS('8. Uitgaven betaalverzoek'!$V:$V,'8. Uitgaven betaalverzoek'!$E:$E,$A99,'8. Uitgaven betaalverzoek'!$F:$F,$B99)</f>
        <v>0</v>
      </c>
      <c r="G99" s="116" t="str">
        <f>IF(C99&lt;&gt;"",SUMIFS('8. Uitgaven betaalverzoek'!$W:$W,'8. Uitgaven betaalverzoek'!$E:$E,$A99,'8. Uitgaven betaalverzoek'!$F:$F,$B99),"")</f>
        <v/>
      </c>
      <c r="H99" s="116" t="str">
        <f>IF(C99&lt;&gt;"",SUMIFS('8. Uitgaven betaalverzoek'!$X:$X,'8. Uitgaven betaalverzoek'!$E:$E,$A99,'8. Uitgaven betaalverzoek'!$F:$F,$B99),"")</f>
        <v/>
      </c>
      <c r="I99" s="118" t="str">
        <f>IFERROR(VLOOKUP(A99,Lijsten!$AD:$AE,2,0),"")</f>
        <v/>
      </c>
      <c r="J99" s="116">
        <f t="shared" si="9"/>
        <v>0</v>
      </c>
      <c r="K99" s="116">
        <f t="shared" si="9"/>
        <v>0</v>
      </c>
      <c r="L99" s="116">
        <f>SUMIFS('8. Uitgaven betaalverzoek'!$U:$U,'8. Uitgaven betaalverzoek'!$E:$E,$A99,'8. Uitgaven betaalverzoek'!$F:$F,$B99,'8. Uitgaven betaalverzoek'!$A:$A,Keuze_DB_Nr)</f>
        <v>0</v>
      </c>
      <c r="M99" s="116">
        <f>SUMIFS('8. Uitgaven betaalverzoek'!$V:$V,'8. Uitgaven betaalverzoek'!$E:$E,$A99,'8. Uitgaven betaalverzoek'!$F:$F,$B99,'8. Uitgaven betaalverzoek'!$A:$A,Keuze_DB_Nr)</f>
        <v>0</v>
      </c>
      <c r="N99" s="116" t="str">
        <f>IF($C99&lt;&gt;"",SUMIFS('8. Uitgaven betaalverzoek'!$W:$W,'8. Uitgaven betaalverzoek'!$E:$E,$A99,'8. Uitgaven betaalverzoek'!$F:$F,$B99,'8. Uitgaven betaalverzoek'!$A:$A,Keuze_DB_Nr),"")</f>
        <v/>
      </c>
      <c r="O99" s="116" t="str">
        <f>IF($C99&lt;&gt;"",SUMIFS('8. Uitgaven betaalverzoek'!$X:$X,'8. Uitgaven betaalverzoek'!$E:$E,$A99,'8. Uitgaven betaalverzoek'!$F:$F,$B99,'8. Uitgaven betaalverzoek'!$A:$A,Keuze_DB_Nr),"")</f>
        <v/>
      </c>
      <c r="P99" s="116">
        <f t="shared" si="10"/>
        <v>0</v>
      </c>
      <c r="Q99" s="116">
        <f t="shared" si="11"/>
        <v>0</v>
      </c>
      <c r="R99" s="116">
        <f>SUMIFS('8. Uitgaven betaalverzoek'!$U:$U,'8. Uitgaven betaalverzoek'!$E:$E,$A99,'8. Uitgaven betaalverzoek'!$F:$F,$B99,'8. Uitgaven betaalverzoek'!$A:$A,Keuze_DB_Nr_BEO)</f>
        <v>0</v>
      </c>
      <c r="S99" s="116">
        <f>SUMIFS('8. Uitgaven betaalverzoek'!$V:$V,'8. Uitgaven betaalverzoek'!$E:$E,$A99,'8. Uitgaven betaalverzoek'!$F:$F,$B99,'8. Uitgaven betaalverzoek'!$A:$A,Keuze_DB_Nr_BEO)</f>
        <v>0</v>
      </c>
      <c r="T99" s="116" t="str">
        <f>IF($C99&lt;&gt;"",SUMIFS('8. Uitgaven betaalverzoek'!$W:$W,'8. Uitgaven betaalverzoek'!$E:$E,$A99,'8. Uitgaven betaalverzoek'!$F:$F,$B99,'8. Uitgaven betaalverzoek'!$A:$A,Keuze_DB_Nr_BEO),"")</f>
        <v/>
      </c>
      <c r="U99" s="116" t="str">
        <f>IF($C99&lt;&gt;"",SUMIFS('8. Uitgaven betaalverzoek'!$X:$X,'8. Uitgaven betaalverzoek'!$E:$E,$A99,'8. Uitgaven betaalverzoek'!$F:$F,$B99,'8. Uitgaven betaalverzoek'!$A:$A,Keuze_DB_Nr_BEO),"")</f>
        <v/>
      </c>
      <c r="V99" s="116">
        <f t="shared" si="7"/>
        <v>0</v>
      </c>
      <c r="W99" s="116">
        <f t="shared" si="8"/>
        <v>0</v>
      </c>
    </row>
    <row r="100" spans="1:23" x14ac:dyDescent="0.25">
      <c r="A100" s="78"/>
      <c r="B100" s="78"/>
      <c r="C100" s="105" t="str" cm="1">
        <f t="array" ref="C100">IFERROR(INDEX(Tb_KostenOpties[],MATCH(B100,Tb_KostenOptiesDB[KostenOptie],0),IFERROR(MATCH(Methode_Keuze,Tb_KostenOptiesDB[#Headers],0),2)),"")</f>
        <v/>
      </c>
      <c r="D100" s="117">
        <f>IFERROR(INDEX(Tb_ProjectKosten[],MATCH($B100,Tb_ProjectKosten[Begroting],0),6),0)</f>
        <v>0</v>
      </c>
      <c r="E100" s="115">
        <f>SUMIFS('8. Uitgaven betaalverzoek'!$U:$U,'8. Uitgaven betaalverzoek'!$E:$E,$A100,'8. Uitgaven betaalverzoek'!$F:$F,$B100)</f>
        <v>0</v>
      </c>
      <c r="F100" s="115">
        <f>SUMIFS('8. Uitgaven betaalverzoek'!$V:$V,'8. Uitgaven betaalverzoek'!$E:$E,$A100,'8. Uitgaven betaalverzoek'!$F:$F,$B100)</f>
        <v>0</v>
      </c>
      <c r="G100" s="115" t="str">
        <f>IF(C100&lt;&gt;"",SUMIFS('8. Uitgaven betaalverzoek'!$W:$W,'8. Uitgaven betaalverzoek'!$E:$E,$A100,'8. Uitgaven betaalverzoek'!$F:$F,$B100),"")</f>
        <v/>
      </c>
      <c r="H100" s="115" t="str">
        <f>IF(C100&lt;&gt;"",SUMIFS('8. Uitgaven betaalverzoek'!$X:$X,'8. Uitgaven betaalverzoek'!$E:$E,$A100,'8. Uitgaven betaalverzoek'!$F:$F,$B100),"")</f>
        <v/>
      </c>
      <c r="I100" s="117" t="str">
        <f>IFERROR(VLOOKUP(A100,Lijsten!$AD:$AE,2,0),"")</f>
        <v/>
      </c>
      <c r="J100" s="115">
        <f t="shared" si="9"/>
        <v>0</v>
      </c>
      <c r="K100" s="115">
        <f t="shared" si="9"/>
        <v>0</v>
      </c>
      <c r="L100" s="115">
        <f>SUMIFS('8. Uitgaven betaalverzoek'!$U:$U,'8. Uitgaven betaalverzoek'!$E:$E,$A100,'8. Uitgaven betaalverzoek'!$F:$F,$B100,'8. Uitgaven betaalverzoek'!$A:$A,Keuze_DB_Nr)</f>
        <v>0</v>
      </c>
      <c r="M100" s="115">
        <f>SUMIFS('8. Uitgaven betaalverzoek'!$V:$V,'8. Uitgaven betaalverzoek'!$E:$E,$A100,'8. Uitgaven betaalverzoek'!$F:$F,$B100,'8. Uitgaven betaalverzoek'!$A:$A,Keuze_DB_Nr)</f>
        <v>0</v>
      </c>
      <c r="N100" s="115" t="str">
        <f>IF($C100&lt;&gt;"",SUMIFS('8. Uitgaven betaalverzoek'!$W:$W,'8. Uitgaven betaalverzoek'!$E:$E,$A100,'8. Uitgaven betaalverzoek'!$F:$F,$B100,'8. Uitgaven betaalverzoek'!$A:$A,Keuze_DB_Nr),"")</f>
        <v/>
      </c>
      <c r="O100" s="115" t="str">
        <f>IF($C100&lt;&gt;"",SUMIFS('8. Uitgaven betaalverzoek'!$X:$X,'8. Uitgaven betaalverzoek'!$E:$E,$A100,'8. Uitgaven betaalverzoek'!$F:$F,$B100,'8. Uitgaven betaalverzoek'!$A:$A,Keuze_DB_Nr),"")</f>
        <v/>
      </c>
      <c r="P100" s="115">
        <f t="shared" ref="P100" si="12">IFERROR($I100*(L100+N100),0)</f>
        <v>0</v>
      </c>
      <c r="Q100" s="115">
        <f t="shared" ref="Q100" si="13">IFERROR($I100*(M100+O100),0)</f>
        <v>0</v>
      </c>
      <c r="R100" s="115">
        <f>SUMIFS('8. Uitgaven betaalverzoek'!$U:$U,'8. Uitgaven betaalverzoek'!$E:$E,$A100,'8. Uitgaven betaalverzoek'!$F:$F,$B100,'8. Uitgaven betaalverzoek'!$A:$A,Keuze_DB_Nr_BEO)</f>
        <v>0</v>
      </c>
      <c r="S100" s="115">
        <f>SUMIFS('8. Uitgaven betaalverzoek'!$V:$V,'8. Uitgaven betaalverzoek'!$E:$E,$A100,'8. Uitgaven betaalverzoek'!$F:$F,$B100,'8. Uitgaven betaalverzoek'!$A:$A,Keuze_DB_Nr_BEO)</f>
        <v>0</v>
      </c>
      <c r="T100" s="115" t="str">
        <f>IF($C100&lt;&gt;"",SUMIFS('8. Uitgaven betaalverzoek'!$W:$W,'8. Uitgaven betaalverzoek'!$E:$E,$A100,'8. Uitgaven betaalverzoek'!$F:$F,$B100,'8. Uitgaven betaalverzoek'!$A:$A,Keuze_DB_Nr_BEO),"")</f>
        <v/>
      </c>
      <c r="U100" s="115" t="str">
        <f>IF($C100&lt;&gt;"",SUMIFS('8. Uitgaven betaalverzoek'!$X:$X,'8. Uitgaven betaalverzoek'!$E:$E,$A100,'8. Uitgaven betaalverzoek'!$F:$F,$B100,'8. Uitgaven betaalverzoek'!$A:$A,Keuze_DB_Nr_BEO),"")</f>
        <v/>
      </c>
      <c r="V100" s="115">
        <f t="shared" si="7"/>
        <v>0</v>
      </c>
      <c r="W100" s="115">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12" bestFit="1" customWidth="1"/>
    <col min="13" max="14" width="11.140625" customWidth="1"/>
    <col min="15" max="15" width="20" customWidth="1"/>
    <col min="17" max="17" width="18.85546875" bestFit="1" customWidth="1"/>
    <col min="18" max="18" width="2.140625" customWidth="1"/>
    <col min="19" max="19" width="7.42578125" bestFit="1" customWidth="1"/>
    <col min="20" max="20" width="3.5703125" customWidth="1"/>
    <col min="21" max="21" width="31.5703125" bestFit="1" customWidth="1"/>
    <col min="22" max="22" width="2" customWidth="1"/>
    <col min="23" max="23" width="19.28515625" bestFit="1" customWidth="1"/>
    <col min="24" max="24" width="19.5703125" bestFit="1" customWidth="1"/>
    <col min="26" max="26" width="18.28515625" bestFit="1" customWidth="1"/>
    <col min="27" max="27" width="18.28515625" customWidth="1"/>
    <col min="29" max="29" width="48.28515625" customWidth="1"/>
    <col min="30" max="30" width="35.7109375" bestFit="1" customWidth="1"/>
    <col min="31" max="31" width="11.28515625" style="71" customWidth="1"/>
    <col min="32" max="32" width="9.140625" customWidth="1"/>
    <col min="33" max="33" width="14.28515625" bestFit="1" customWidth="1"/>
    <col min="56" max="56" width="11.85546875" customWidth="1"/>
    <col min="57" max="57" width="14.28515625" customWidth="1"/>
    <col min="58" max="58" width="29.42578125" bestFit="1" customWidth="1"/>
    <col min="59" max="59" width="18.5703125" bestFit="1" customWidth="1"/>
  </cols>
  <sheetData>
    <row r="1" spans="1:59" x14ac:dyDescent="0.25">
      <c r="A1" s="75" t="s">
        <v>85</v>
      </c>
      <c r="C1" s="75" t="s">
        <v>86</v>
      </c>
      <c r="E1" s="75" t="s">
        <v>104</v>
      </c>
      <c r="F1" s="75" t="s">
        <v>108</v>
      </c>
      <c r="H1" s="75" t="s">
        <v>105</v>
      </c>
      <c r="I1" s="82"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272</v>
      </c>
      <c r="AE1" s="111" t="s">
        <v>81</v>
      </c>
      <c r="AF1" s="75" t="s">
        <v>8</v>
      </c>
      <c r="AG1" s="75" t="s">
        <v>91</v>
      </c>
      <c r="AH1" s="75" t="s">
        <v>28</v>
      </c>
      <c r="AI1" s="75" t="s">
        <v>27</v>
      </c>
      <c r="AJ1" s="75" t="s">
        <v>11</v>
      </c>
      <c r="AK1" s="75" t="s">
        <v>107</v>
      </c>
      <c r="AL1" s="75" t="s">
        <v>106</v>
      </c>
      <c r="AM1" s="75" t="s">
        <v>3</v>
      </c>
      <c r="AN1" s="75" t="s">
        <v>7</v>
      </c>
      <c r="AO1" s="75" t="s">
        <v>5</v>
      </c>
      <c r="AP1" s="75" t="s">
        <v>52</v>
      </c>
      <c r="AQ1" s="75" t="s">
        <v>307</v>
      </c>
      <c r="AR1" s="75" t="s">
        <v>53</v>
      </c>
      <c r="AS1" s="75" t="s">
        <v>43</v>
      </c>
      <c r="AT1" s="75" t="s">
        <v>220</v>
      </c>
      <c r="AU1" s="75" t="s">
        <v>221</v>
      </c>
      <c r="AV1" s="75" t="s">
        <v>222</v>
      </c>
      <c r="AW1" s="75" t="s">
        <v>223</v>
      </c>
      <c r="AX1" s="75" t="s">
        <v>224</v>
      </c>
      <c r="AY1" s="75" t="s">
        <v>312</v>
      </c>
      <c r="AZ1" s="75" t="s">
        <v>153</v>
      </c>
      <c r="BA1" s="75" t="s">
        <v>154</v>
      </c>
      <c r="BB1" s="75" t="s">
        <v>155</v>
      </c>
      <c r="BC1" s="75" t="s">
        <v>156</v>
      </c>
      <c r="BD1" s="75" t="s">
        <v>157</v>
      </c>
      <c r="BE1" s="75" t="s">
        <v>158</v>
      </c>
      <c r="BF1" s="75" t="s">
        <v>159</v>
      </c>
      <c r="BG1" s="75" t="s">
        <v>160</v>
      </c>
    </row>
    <row r="2" spans="1:59" x14ac:dyDescent="0.2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3">
        <f>IFERROR(INDEX(DB_Loonkosten,MATCH(I2,'7. Rekenhulp loonkosten bet.vz.'!LoonkostenNr,0),24),"")</f>
        <v>0</v>
      </c>
      <c r="L2" s="74" t="str" cm="1">
        <f t="array" aca="1" ref="L2" ca="1">IFERROR(_xlfn.UNIQUE(_xlfn._xlws.FILTER(Tb_KostenTypen[[Kostentype]:[Forfait]],Tb_KostenTypen[Weergeven]=1)),"")</f>
        <v/>
      </c>
      <c r="M2" s="74"/>
      <c r="N2" s="74"/>
      <c r="O2" s="83" t="str">
        <f ca="1">IF(L2&lt;&gt;"",IFERROR(VLOOKUP(L2,Tb_KostenTypen[],MATCH($O$1,Tb_KostenTypen[#Headers],0),0),0),"")</f>
        <v/>
      </c>
      <c r="Q2" s="74" t="str" cm="1">
        <f t="array" ref="Q2">IFERROR(_xlfn.UNIQUE(_xlfn._xlws.FILTER('8. Uitgaven betaalverzoek'!A2:A2001,'8. Uitgaven betaalverzoek'!A2:A2001&lt;&gt;"")),"")</f>
        <v/>
      </c>
      <c r="S2" s="74" t="s">
        <v>74</v>
      </c>
      <c r="U2" s="110" t="str" cm="1">
        <f t="array" ref="U2">IFERROR(_xlfn.UNIQUE(_xlfn._xlws.FILTER('5. Kosten uitvoering project'!$E$6:$E$105,'5. Kosten uitvoering project'!$E$6:$E$105&lt;&gt;"")),"")</f>
        <v/>
      </c>
      <c r="W2" s="114">
        <f>IFERROR(VLOOKUP(Openstelling_Keuze,Subsidie_Tabel,MATCH(W1,Tb_Openstelling[#Headers],0),0),0)</f>
        <v>0</v>
      </c>
      <c r="X2" s="114">
        <f>IFERROR(VLOOKUP(Openstelling_Keuze,Subsidie_Tabel,MATCH(X1,Tb_Openstelling[#Headers],0),0),0)</f>
        <v>0</v>
      </c>
      <c r="Z2" s="110" t="str" cm="1">
        <f t="array" ref="Z2">IFERROR(_xlfn._xlws.FILTER('4. Rekenhulp loonkosten aanvr.'!A5:B54,'4. Rekenhulp loonkosten aanvr.'!A5:A54&lt;&gt;""),"")</f>
        <v/>
      </c>
      <c r="AA2" s="110"/>
      <c r="AC2" s="110" t="str" cm="1">
        <f t="array" ref="AC2">IFERROR(IF(Openstelling_Keuze&lt;&gt;"",_xlfn._xlws.FILTER(Tb_Activiteiten[],Tb_Activiteiten[Openstelling]=Openstelling_Keuze,""),""),"")</f>
        <v/>
      </c>
      <c r="AD2" s="110"/>
      <c r="AE2" s="112"/>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row>
    <row r="3" spans="1:59" x14ac:dyDescent="0.2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3">
        <f>IFERROR(INDEX(DB_Loonkosten,MATCH(I3,'7. Rekenhulp loonkosten bet.vz.'!LoonkostenNr,0),24),"")</f>
        <v>0</v>
      </c>
      <c r="L3" s="74"/>
      <c r="M3" s="74"/>
      <c r="N3" s="74"/>
      <c r="O3" s="83" t="str">
        <f>IF(L3&lt;&gt;"",IFERROR(VLOOKUP(L3,Tb_KostenTypen[],MATCH($O$1,Tb_KostenTypen[#Headers],0),0),0),"")</f>
        <v/>
      </c>
      <c r="Q3" s="74"/>
      <c r="S3" s="74" t="s">
        <v>67</v>
      </c>
      <c r="U3" s="110"/>
      <c r="Z3" s="110"/>
      <c r="AA3" s="110"/>
      <c r="AC3" s="110"/>
      <c r="AD3" s="110"/>
      <c r="AE3" s="112"/>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row>
    <row r="4" spans="1:59" x14ac:dyDescent="0.2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3">
        <f>IFERROR(INDEX(DB_Loonkosten,MATCH(I4,'7. Rekenhulp loonkosten bet.vz.'!LoonkostenNr,0),24),"")</f>
        <v>0</v>
      </c>
      <c r="L4" s="74"/>
      <c r="M4" s="74"/>
      <c r="N4" s="74"/>
      <c r="O4" s="83" t="str">
        <f>IF(L4&lt;&gt;"",IFERROR(VLOOKUP(L4,Tb_KostenTypen[],MATCH($O$1,Tb_KostenTypen[#Headers],0),0),0),"")</f>
        <v/>
      </c>
      <c r="Q4" s="74"/>
      <c r="U4" s="110"/>
      <c r="Z4" s="110"/>
      <c r="AA4" s="110"/>
      <c r="AC4" s="110"/>
      <c r="AD4" s="110"/>
      <c r="AE4" s="112"/>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row>
    <row r="5" spans="1:59" x14ac:dyDescent="0.2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3">
        <f>IFERROR(INDEX(DB_Loonkosten,MATCH(I5,'7. Rekenhulp loonkosten bet.vz.'!LoonkostenNr,0),24),"")</f>
        <v>0</v>
      </c>
      <c r="L5" s="74"/>
      <c r="M5" s="74"/>
      <c r="N5" s="74"/>
      <c r="O5" s="83" t="str">
        <f>IF(L5&lt;&gt;"",IFERROR(VLOOKUP(L5,Tb_KostenTypen[],MATCH($O$1,Tb_KostenTypen[#Headers],0),0),0),"")</f>
        <v/>
      </c>
      <c r="Q5" s="74"/>
      <c r="U5" s="110"/>
      <c r="Z5" s="110"/>
      <c r="AA5" s="110"/>
      <c r="AC5" s="110"/>
      <c r="AD5" s="110"/>
      <c r="AE5" s="112"/>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row>
    <row r="6" spans="1:59" x14ac:dyDescent="0.2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3">
        <f>IFERROR(INDEX(DB_Loonkosten,MATCH(I6,'7. Rekenhulp loonkosten bet.vz.'!LoonkostenNr,0),24),"")</f>
        <v>0</v>
      </c>
      <c r="L6" s="74"/>
      <c r="M6" s="74"/>
      <c r="N6" s="74"/>
      <c r="O6" s="83" t="str">
        <f>IF(L6&lt;&gt;"",IFERROR(VLOOKUP(L6,Tb_KostenTypen[],MATCH($O$1,Tb_KostenTypen[#Headers],0),0),0),"")</f>
        <v/>
      </c>
      <c r="Q6" s="74"/>
      <c r="S6" t="str" cm="1">
        <f t="array" ref="S6">IF(LEFT('8. Uitgaven betaalverzoek'!F6,6)="Arbeid",IF(RIGHT('8. Uitgaven betaalverzoek'!F6,3)="IKS",MedewerkersIKS_Uniek,Medewerkers_Uniek),"")</f>
        <v/>
      </c>
      <c r="U6" s="110"/>
      <c r="Z6" s="110"/>
      <c r="AA6" s="110"/>
      <c r="AC6" s="110"/>
      <c r="AD6" s="110"/>
      <c r="AE6" s="112"/>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row>
    <row r="7" spans="1:59" x14ac:dyDescent="0.2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3">
        <f>IFERROR(INDEX(DB_Loonkosten,MATCH(I7,'7. Rekenhulp loonkosten bet.vz.'!LoonkostenNr,0),24),"")</f>
        <v>0</v>
      </c>
      <c r="L7" s="74"/>
      <c r="M7" s="74"/>
      <c r="N7" s="74"/>
      <c r="O7" s="83" t="str">
        <f>IF(L7&lt;&gt;"",IFERROR(VLOOKUP(L7,Tb_KostenTypen[],MATCH($O$1,Tb_KostenTypen[#Headers],0),0),0),"")</f>
        <v/>
      </c>
      <c r="Q7" s="74"/>
      <c r="S7" t="str" cm="1">
        <f t="array" ref="S7">IF(LEFT('8. Uitgaven betaalverzoek'!F7,6)="Arbeid",IF(RIGHT('8. Uitgaven betaalverzoek'!F7,3)="IKS",MedewerkersIKS_Uniek,Medewerkers_Uniek),"")</f>
        <v/>
      </c>
      <c r="U7" s="110"/>
      <c r="Z7" s="110"/>
      <c r="AA7" s="110"/>
      <c r="AC7" s="110"/>
      <c r="AD7" s="110"/>
      <c r="AE7" s="112"/>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row>
    <row r="8" spans="1:59" x14ac:dyDescent="0.2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3">
        <f>IFERROR(INDEX(DB_Loonkosten,MATCH(I8,'7. Rekenhulp loonkosten bet.vz.'!LoonkostenNr,0),24),"")</f>
        <v>0</v>
      </c>
      <c r="L8" s="74"/>
      <c r="M8" s="74"/>
      <c r="N8" s="74"/>
      <c r="O8" s="83" t="str">
        <f>IF(L8&lt;&gt;"",IFERROR(VLOOKUP(L8,Tb_KostenTypen[],MATCH($O$1,Tb_KostenTypen[#Headers],0),0),0),"")</f>
        <v/>
      </c>
      <c r="Q8" s="74"/>
      <c r="S8" t="str" cm="1">
        <f t="array" ref="S8">IF(LEFT('8. Uitgaven betaalverzoek'!F8,6)="Arbeid",IF(RIGHT('8. Uitgaven betaalverzoek'!F8,3)="IKS",MedewerkersIKS_Uniek,Medewerkers_Uniek),"")</f>
        <v/>
      </c>
      <c r="U8" s="110"/>
      <c r="Z8" s="110"/>
      <c r="AA8" s="110"/>
      <c r="AC8" s="110"/>
      <c r="AD8" s="110"/>
      <c r="AE8" s="112"/>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row>
    <row r="9" spans="1:59" x14ac:dyDescent="0.2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3">
        <f>IFERROR(INDEX(DB_Loonkosten,MATCH(I9,'7. Rekenhulp loonkosten bet.vz.'!LoonkostenNr,0),24),"")</f>
        <v>0</v>
      </c>
      <c r="L9" s="74"/>
      <c r="M9" s="74"/>
      <c r="N9" s="74"/>
      <c r="O9" s="83" t="str">
        <f>IF(L9&lt;&gt;"",IFERROR(VLOOKUP(L9,Tb_KostenTypen[],MATCH($O$1,Tb_KostenTypen[#Headers],0),0),0),"")</f>
        <v/>
      </c>
      <c r="Q9" s="74"/>
      <c r="S9" t="str" cm="1">
        <f t="array" ref="S9">IF(LEFT('8. Uitgaven betaalverzoek'!F9,6)="Arbeid",IF(RIGHT('8. Uitgaven betaalverzoek'!F9,3)="IKS",MedewerkersIKS_Uniek,Medewerkers_Uniek),"")</f>
        <v/>
      </c>
      <c r="U9" s="110"/>
      <c r="Z9" s="110"/>
      <c r="AA9" s="110"/>
      <c r="AC9" s="110"/>
      <c r="AD9" s="110"/>
      <c r="AE9" s="112"/>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row>
    <row r="10" spans="1:59" x14ac:dyDescent="0.2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3">
        <f>IFERROR(INDEX(DB_Loonkosten,MATCH(I10,'7. Rekenhulp loonkosten bet.vz.'!LoonkostenNr,0),24),"")</f>
        <v>0</v>
      </c>
      <c r="L10" s="74"/>
      <c r="M10" s="74"/>
      <c r="N10" s="74"/>
      <c r="O10" s="83" t="str">
        <f>IF(L10&lt;&gt;"",IFERROR(VLOOKUP(L10,Tb_KostenTypen[],MATCH($O$1,Tb_KostenTypen[#Headers],0),0),0),"")</f>
        <v/>
      </c>
      <c r="Q10" s="74"/>
      <c r="S10" t="str" cm="1">
        <f t="array" ref="S10">IF(LEFT('8. Uitgaven betaalverzoek'!F10,6)="Arbeid",IF(RIGHT('8. Uitgaven betaalverzoek'!F10,3)="IKS",MedewerkersIKS_Uniek,Medewerkers_Uniek),"")</f>
        <v/>
      </c>
      <c r="U10" s="110"/>
      <c r="Z10" s="110"/>
      <c r="AA10" s="110"/>
      <c r="AC10" s="110"/>
      <c r="AD10" s="110"/>
      <c r="AE10" s="112"/>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row>
    <row r="11" spans="1:59" x14ac:dyDescent="0.2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3">
        <f>IFERROR(INDEX(DB_Loonkosten,MATCH(I11,'7. Rekenhulp loonkosten bet.vz.'!LoonkostenNr,0),24),"")</f>
        <v>0</v>
      </c>
      <c r="L11" s="74"/>
      <c r="M11" s="74"/>
      <c r="N11" s="74"/>
      <c r="O11" s="83" t="str">
        <f>IF(L11&lt;&gt;"",IFERROR(VLOOKUP(L11,Tb_KostenTypen[],MATCH($O$1,Tb_KostenTypen[#Headers],0),0),0),"")</f>
        <v/>
      </c>
      <c r="Q11" s="74"/>
      <c r="S11" t="str" cm="1">
        <f t="array" ref="S11">IF(LEFT('8. Uitgaven betaalverzoek'!F11,6)="Arbeid",IF(RIGHT('8. Uitgaven betaalverzoek'!F11,3)="IKS",MedewerkersIKS_Uniek,Medewerkers_Uniek),"")</f>
        <v/>
      </c>
      <c r="U11" s="110"/>
      <c r="Z11" s="110"/>
      <c r="AA11" s="110"/>
      <c r="AC11" s="110"/>
      <c r="AD11" s="110"/>
      <c r="AE11" s="112"/>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row>
    <row r="12" spans="1:59" x14ac:dyDescent="0.2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3">
        <f>IFERROR(INDEX(DB_Loonkosten,MATCH(I12,'7. Rekenhulp loonkosten bet.vz.'!LoonkostenNr,0),24),"")</f>
        <v>0</v>
      </c>
      <c r="L12" s="74"/>
      <c r="M12" s="74"/>
      <c r="N12" s="74"/>
      <c r="O12" s="83" t="str">
        <f>IF(L12&lt;&gt;"",IFERROR(VLOOKUP(L12,Tb_KostenTypen[],MATCH($O$1,Tb_KostenTypen[#Headers],0),0),0),"")</f>
        <v/>
      </c>
      <c r="Q12" s="74"/>
      <c r="S12" t="str" cm="1">
        <f t="array" ref="S12">IF(LEFT('8. Uitgaven betaalverzoek'!F12,6)="Arbeid",IF(RIGHT('8. Uitgaven betaalverzoek'!F12,3)="IKS",MedewerkersIKS_Uniek,Medewerkers_Uniek),"")</f>
        <v/>
      </c>
      <c r="U12" s="110"/>
      <c r="Z12" s="110"/>
      <c r="AA12" s="110"/>
      <c r="AC12" s="110"/>
      <c r="AD12" s="110"/>
      <c r="AE12" s="112"/>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row>
    <row r="13" spans="1:59" x14ac:dyDescent="0.2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3">
        <f>IFERROR(INDEX(DB_Loonkosten,MATCH(I13,'7. Rekenhulp loonkosten bet.vz.'!LoonkostenNr,0),24),"")</f>
        <v>0</v>
      </c>
      <c r="L13" s="74"/>
      <c r="M13" s="74"/>
      <c r="N13" s="74"/>
      <c r="O13" s="83" t="str">
        <f>IF(L13&lt;&gt;"",IFERROR(VLOOKUP(L13,Tb_KostenTypen[],MATCH($O$1,Tb_KostenTypen[#Headers],0),0),0),"")</f>
        <v/>
      </c>
      <c r="Q13" s="74"/>
      <c r="S13" t="str" cm="1">
        <f t="array" ref="S13">IF(LEFT('8. Uitgaven betaalverzoek'!F13,6)="Arbeid",IF(RIGHT('8. Uitgaven betaalverzoek'!F13,3)="IKS",MedewerkersIKS_Uniek,Medewerkers_Uniek),"")</f>
        <v/>
      </c>
      <c r="U13" s="110"/>
      <c r="Z13" s="110"/>
      <c r="AA13" s="110"/>
      <c r="AC13" s="110"/>
      <c r="AD13" s="110"/>
      <c r="AE13" s="112"/>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row>
    <row r="14" spans="1:59" x14ac:dyDescent="0.2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3">
        <f>IFERROR(INDEX(DB_Loonkosten,MATCH(I14,'7. Rekenhulp loonkosten bet.vz.'!LoonkostenNr,0),24),"")</f>
        <v>0</v>
      </c>
      <c r="L14" s="74"/>
      <c r="M14" s="74"/>
      <c r="N14" s="74"/>
      <c r="O14" s="83" t="str">
        <f>IF(L14&lt;&gt;"",IFERROR(VLOOKUP(L14,Tb_KostenTypen[],MATCH($O$1,Tb_KostenTypen[#Headers],0),0),0),"")</f>
        <v/>
      </c>
      <c r="Q14" s="74"/>
      <c r="S14" t="str" cm="1">
        <f t="array" ref="S14">IF(LEFT('8. Uitgaven betaalverzoek'!F14,6)="Arbeid",IF(RIGHT('8. Uitgaven betaalverzoek'!F14,3)="IKS",MedewerkersIKS_Uniek,Medewerkers_Uniek),"")</f>
        <v/>
      </c>
      <c r="U14" s="110"/>
      <c r="Z14" s="110"/>
      <c r="AA14" s="110"/>
      <c r="AC14" s="110"/>
      <c r="AD14" s="110"/>
      <c r="AE14" s="112"/>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row>
    <row r="15" spans="1:59" x14ac:dyDescent="0.2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3">
        <f>IFERROR(INDEX(DB_Loonkosten,MATCH(I15,'7. Rekenhulp loonkosten bet.vz.'!LoonkostenNr,0),24),"")</f>
        <v>0</v>
      </c>
      <c r="L15" s="74"/>
      <c r="M15" s="74"/>
      <c r="N15" s="74"/>
      <c r="O15" s="83" t="str">
        <f>IF(L15&lt;&gt;"",IFERROR(VLOOKUP(L15,Tb_KostenTypen[],MATCH($O$1,Tb_KostenTypen[#Headers],0),0),0),"")</f>
        <v/>
      </c>
      <c r="Q15" s="74"/>
      <c r="S15" t="str" cm="1">
        <f t="array" ref="S15">IF(LEFT('8. Uitgaven betaalverzoek'!F15,6)="Arbeid",IF(RIGHT('8. Uitgaven betaalverzoek'!F15,3)="IKS",MedewerkersIKS_Uniek,Medewerkers_Uniek),"")</f>
        <v/>
      </c>
      <c r="Z15" s="110"/>
      <c r="AA15" s="110"/>
    </row>
    <row r="16" spans="1:59" x14ac:dyDescent="0.2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3">
        <f>IFERROR(INDEX(DB_Loonkosten,MATCH(I16,'7. Rekenhulp loonkosten bet.vz.'!LoonkostenNr,0),24),"")</f>
        <v>0</v>
      </c>
      <c r="L16" s="74"/>
      <c r="M16" s="74"/>
      <c r="N16" s="74"/>
      <c r="O16" s="83" t="str">
        <f>IF(L16&lt;&gt;"",IFERROR(VLOOKUP(L16,Tb_KostenTypen[],MATCH($O$1,Tb_KostenTypen[#Headers],0),0),0),"")</f>
        <v/>
      </c>
      <c r="Q16" s="74"/>
      <c r="S16" t="str" cm="1">
        <f t="array" ref="S16">IF(LEFT('8. Uitgaven betaalverzoek'!F16,6)="Arbeid",IF(RIGHT('8. Uitgaven betaalverzoek'!F16,3)="IKS",MedewerkersIKS_Uniek,Medewerkers_Uniek),"")</f>
        <v/>
      </c>
      <c r="Z16" s="110"/>
      <c r="AA16" s="110"/>
    </row>
    <row r="17" spans="1:27" x14ac:dyDescent="0.2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3">
        <f>IFERROR(INDEX(DB_Loonkosten,MATCH(I17,'7. Rekenhulp loonkosten bet.vz.'!LoonkostenNr,0),24),"")</f>
        <v>0</v>
      </c>
      <c r="L17" s="74"/>
      <c r="M17" s="74"/>
      <c r="N17" s="74"/>
      <c r="O17" s="83" t="str">
        <f>IF(L17&lt;&gt;"",IFERROR(VLOOKUP(L17,Tb_KostenTypen[],MATCH($O$1,Tb_KostenTypen[#Headers],0),0),0),"")</f>
        <v/>
      </c>
      <c r="Q17" s="74"/>
      <c r="S17" t="str" cm="1">
        <f t="array" ref="S17">IF(LEFT('8. Uitgaven betaalverzoek'!F17,6)="Arbeid",IF(RIGHT('8. Uitgaven betaalverzoek'!F17,3)="IKS",MedewerkersIKS_Uniek,Medewerkers_Uniek),"")</f>
        <v/>
      </c>
      <c r="Z17" s="110"/>
      <c r="AA17" s="110"/>
    </row>
    <row r="18" spans="1:27" x14ac:dyDescent="0.2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3">
        <f>IFERROR(INDEX(DB_Loonkosten,MATCH(I18,'7. Rekenhulp loonkosten bet.vz.'!LoonkostenNr,0),24),"")</f>
        <v>0</v>
      </c>
      <c r="L18" s="74"/>
      <c r="M18" s="74"/>
      <c r="N18" s="74"/>
      <c r="O18" s="83" t="str">
        <f>IF(L18&lt;&gt;"",IFERROR(VLOOKUP(L18,Tb_KostenTypen[],MATCH($O$1,Tb_KostenTypen[#Headers],0),0),0),"")</f>
        <v/>
      </c>
      <c r="Q18" s="74"/>
      <c r="Z18" s="110"/>
      <c r="AA18" s="110"/>
    </row>
    <row r="19" spans="1:27" x14ac:dyDescent="0.2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3">
        <f>IFERROR(INDEX(DB_Loonkosten,MATCH(I19,'7. Rekenhulp loonkosten bet.vz.'!LoonkostenNr,0),24),"")</f>
        <v>0</v>
      </c>
      <c r="L19" s="74"/>
      <c r="M19" s="74"/>
      <c r="N19" s="74"/>
      <c r="O19" s="83" t="str">
        <f>IF(L19&lt;&gt;"",IFERROR(VLOOKUP(L19,Tb_KostenTypen[],MATCH($O$1,Tb_KostenTypen[#Headers],0),0),0),"")</f>
        <v/>
      </c>
      <c r="Q19" s="74"/>
      <c r="Z19" s="110"/>
      <c r="AA19" s="110"/>
    </row>
    <row r="20" spans="1:27" x14ac:dyDescent="0.2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3">
        <f>IFERROR(INDEX(DB_Loonkosten,MATCH(I20,'7. Rekenhulp loonkosten bet.vz.'!LoonkostenNr,0),24),"")</f>
        <v>0</v>
      </c>
      <c r="L20" s="74"/>
      <c r="M20" s="74"/>
      <c r="N20" s="74"/>
      <c r="O20" s="83" t="str">
        <f>IF(L20&lt;&gt;"",IFERROR(VLOOKUP(L20,Tb_KostenTypen[],MATCH($O$1,Tb_KostenTypen[#Headers],0),0),0),"")</f>
        <v/>
      </c>
      <c r="Q20" s="74"/>
      <c r="Z20" s="110"/>
      <c r="AA20" s="110"/>
    </row>
    <row r="21" spans="1:27" x14ac:dyDescent="0.2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3">
        <f>IFERROR(INDEX(DB_Loonkosten,MATCH(I21,'7. Rekenhulp loonkosten bet.vz.'!LoonkostenNr,0),24),"")</f>
        <v>0</v>
      </c>
      <c r="Q21" s="74"/>
      <c r="Z21" s="110"/>
      <c r="AA21" s="110"/>
    </row>
    <row r="22" spans="1:27" x14ac:dyDescent="0.2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3">
        <f>IFERROR(INDEX(DB_Loonkosten,MATCH(I22,'7. Rekenhulp loonkosten bet.vz.'!LoonkostenNr,0),24),"")</f>
        <v>0</v>
      </c>
      <c r="Q22" s="74"/>
      <c r="Z22" s="110"/>
      <c r="AA22" s="110"/>
    </row>
    <row r="23" spans="1:27" x14ac:dyDescent="0.2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3">
        <f>IFERROR(INDEX(DB_Loonkosten,MATCH(I23,'7. Rekenhulp loonkosten bet.vz.'!LoonkostenNr,0),24),"")</f>
        <v>0</v>
      </c>
      <c r="Q23" s="74"/>
      <c r="Z23" s="110"/>
      <c r="AA23" s="110"/>
    </row>
    <row r="24" spans="1:27" x14ac:dyDescent="0.2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3">
        <f>IFERROR(INDEX(DB_Loonkosten,MATCH(I24,'7. Rekenhulp loonkosten bet.vz.'!LoonkostenNr,0),24),"")</f>
        <v>0</v>
      </c>
      <c r="Q24" s="74"/>
      <c r="Z24" s="110"/>
      <c r="AA24" s="110"/>
    </row>
    <row r="25" spans="1:27" x14ac:dyDescent="0.2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3">
        <f>IFERROR(INDEX(DB_Loonkosten,MATCH(I25,'7. Rekenhulp loonkosten bet.vz.'!LoonkostenNr,0),24),"")</f>
        <v>0</v>
      </c>
      <c r="Q25" s="74"/>
      <c r="Z25" s="110"/>
      <c r="AA25" s="110"/>
    </row>
    <row r="26" spans="1:27" x14ac:dyDescent="0.2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3">
        <f>IFERROR(INDEX(DB_Loonkosten,MATCH(I26,'7. Rekenhulp loonkosten bet.vz.'!LoonkostenNr,0),24),"")</f>
        <v>0</v>
      </c>
      <c r="Q26" s="74"/>
      <c r="Z26" s="110"/>
      <c r="AA26" s="110"/>
    </row>
    <row r="27" spans="1:27" x14ac:dyDescent="0.2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3">
        <f>IFERROR(INDEX(DB_Loonkosten,MATCH(I27,'7. Rekenhulp loonkosten bet.vz.'!LoonkostenNr,0),24),"")</f>
        <v>0</v>
      </c>
      <c r="Q27" s="74"/>
      <c r="Z27" s="110"/>
      <c r="AA27" s="110"/>
    </row>
    <row r="28" spans="1:27" x14ac:dyDescent="0.2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3">
        <f>IFERROR(INDEX(DB_Loonkosten,MATCH(I28,'7. Rekenhulp loonkosten bet.vz.'!LoonkostenNr,0),24),"")</f>
        <v>0</v>
      </c>
      <c r="Q28" s="74"/>
      <c r="Z28" s="110"/>
      <c r="AA28" s="110"/>
    </row>
    <row r="29" spans="1:27" x14ac:dyDescent="0.2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3">
        <f>IFERROR(INDEX(DB_Loonkosten,MATCH(I29,'7. Rekenhulp loonkosten bet.vz.'!LoonkostenNr,0),24),"")</f>
        <v>0</v>
      </c>
      <c r="Q29" s="74"/>
      <c r="Z29" s="110"/>
      <c r="AA29" s="110"/>
    </row>
    <row r="30" spans="1:27" x14ac:dyDescent="0.2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3">
        <f>IFERROR(INDEX(DB_Loonkosten,MATCH(I30,'7. Rekenhulp loonkosten bet.vz.'!LoonkostenNr,0),24),"")</f>
        <v>0</v>
      </c>
      <c r="Q30" s="74"/>
      <c r="Z30" s="110"/>
      <c r="AA30" s="110"/>
    </row>
    <row r="31" spans="1:27" x14ac:dyDescent="0.2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3">
        <f>IFERROR(INDEX(DB_Loonkosten,MATCH(I31,'7. Rekenhulp loonkosten bet.vz.'!LoonkostenNr,0),24),"")</f>
        <v>0</v>
      </c>
      <c r="Q31" s="74"/>
      <c r="Z31" s="110"/>
      <c r="AA31" s="110"/>
    </row>
    <row r="32" spans="1:27" x14ac:dyDescent="0.2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3">
        <f>IFERROR(INDEX(DB_Loonkosten,MATCH(I32,'7. Rekenhulp loonkosten bet.vz.'!LoonkostenNr,0),24),"")</f>
        <v>0</v>
      </c>
      <c r="Q32" s="74"/>
      <c r="Z32" s="110"/>
      <c r="AA32" s="110"/>
    </row>
    <row r="33" spans="1:27" x14ac:dyDescent="0.2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3">
        <f>IFERROR(INDEX(DB_Loonkosten,MATCH(I33,'7. Rekenhulp loonkosten bet.vz.'!LoonkostenNr,0),24),"")</f>
        <v>0</v>
      </c>
      <c r="Q33" s="74"/>
      <c r="Z33" s="110"/>
      <c r="AA33" s="110"/>
    </row>
    <row r="34" spans="1:27" x14ac:dyDescent="0.2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3">
        <f>IFERROR(INDEX(DB_Loonkosten,MATCH(I34,'7. Rekenhulp loonkosten bet.vz.'!LoonkostenNr,0),24),"")</f>
        <v>0</v>
      </c>
      <c r="Q34" s="74"/>
      <c r="Z34" s="110"/>
      <c r="AA34" s="110"/>
    </row>
    <row r="35" spans="1:27" x14ac:dyDescent="0.2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3">
        <f>IFERROR(INDEX(DB_Loonkosten,MATCH(I35,'7. Rekenhulp loonkosten bet.vz.'!LoonkostenNr,0),24),"")</f>
        <v>0</v>
      </c>
      <c r="Q35" s="74"/>
      <c r="Z35" s="110"/>
      <c r="AA35" s="110"/>
    </row>
    <row r="36" spans="1:27" x14ac:dyDescent="0.2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3">
        <f>IFERROR(INDEX(DB_Loonkosten,MATCH(I36,'7. Rekenhulp loonkosten bet.vz.'!LoonkostenNr,0),24),"")</f>
        <v>0</v>
      </c>
      <c r="Q36" s="74"/>
      <c r="Z36" s="110"/>
      <c r="AA36" s="110"/>
    </row>
    <row r="37" spans="1:27" x14ac:dyDescent="0.2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3">
        <f>IFERROR(INDEX(DB_Loonkosten,MATCH(I37,'7. Rekenhulp loonkosten bet.vz.'!LoonkostenNr,0),24),"")</f>
        <v>0</v>
      </c>
      <c r="Q37" s="74"/>
      <c r="Z37" s="110"/>
      <c r="AA37" s="110"/>
    </row>
    <row r="38" spans="1:27" x14ac:dyDescent="0.2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3">
        <f>IFERROR(INDEX(DB_Loonkosten,MATCH(I38,'7. Rekenhulp loonkosten bet.vz.'!LoonkostenNr,0),24),"")</f>
        <v>0</v>
      </c>
      <c r="Q38" s="74"/>
      <c r="Z38" s="110"/>
      <c r="AA38" s="110"/>
    </row>
    <row r="39" spans="1:27" x14ac:dyDescent="0.2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3">
        <f>IFERROR(INDEX(DB_Loonkosten,MATCH(I39,'7. Rekenhulp loonkosten bet.vz.'!LoonkostenNr,0),24),"")</f>
        <v>0</v>
      </c>
      <c r="Q39" s="74"/>
      <c r="Z39" s="110"/>
      <c r="AA39" s="110"/>
    </row>
    <row r="40" spans="1:27" x14ac:dyDescent="0.2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3">
        <f>IFERROR(INDEX(DB_Loonkosten,MATCH(I40,'7. Rekenhulp loonkosten bet.vz.'!LoonkostenNr,0),24),"")</f>
        <v>0</v>
      </c>
      <c r="Q40" s="74"/>
      <c r="Z40" s="110"/>
      <c r="AA40" s="110"/>
    </row>
    <row r="41" spans="1:27" x14ac:dyDescent="0.2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3">
        <f>IFERROR(INDEX(DB_Loonkosten,MATCH(I41,'7. Rekenhulp loonkosten bet.vz.'!LoonkostenNr,0),24),"")</f>
        <v>0</v>
      </c>
      <c r="Q41" s="74"/>
      <c r="Z41" s="110"/>
      <c r="AA41" s="110"/>
    </row>
    <row r="42" spans="1:27" x14ac:dyDescent="0.2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3">
        <f>IFERROR(INDEX(DB_Loonkosten,MATCH(I42,'7. Rekenhulp loonkosten bet.vz.'!LoonkostenNr,0),24),"")</f>
        <v>0</v>
      </c>
      <c r="Q42" s="74"/>
      <c r="Z42" s="110"/>
      <c r="AA42" s="110"/>
    </row>
    <row r="43" spans="1:27" x14ac:dyDescent="0.2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3">
        <f>IFERROR(INDEX(DB_Loonkosten,MATCH(I43,'7. Rekenhulp loonkosten bet.vz.'!LoonkostenNr,0),24),"")</f>
        <v>0</v>
      </c>
      <c r="Q43" s="74"/>
      <c r="Z43" s="110"/>
      <c r="AA43" s="110"/>
    </row>
    <row r="44" spans="1:27" x14ac:dyDescent="0.2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3">
        <f>IFERROR(INDEX(DB_Loonkosten,MATCH(I44,'7. Rekenhulp loonkosten bet.vz.'!LoonkostenNr,0),24),"")</f>
        <v>0</v>
      </c>
      <c r="Q44" s="74"/>
      <c r="Z44" s="110"/>
      <c r="AA44" s="110"/>
    </row>
    <row r="45" spans="1:27" x14ac:dyDescent="0.2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3">
        <f>IFERROR(INDEX(DB_Loonkosten,MATCH(I45,'7. Rekenhulp loonkosten bet.vz.'!LoonkostenNr,0),24),"")</f>
        <v>0</v>
      </c>
      <c r="Q45" s="74"/>
      <c r="Z45" s="110"/>
      <c r="AA45" s="110"/>
    </row>
    <row r="46" spans="1:27" x14ac:dyDescent="0.2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3">
        <f>IFERROR(INDEX(DB_Loonkosten,MATCH(I46,'7. Rekenhulp loonkosten bet.vz.'!LoonkostenNr,0),24),"")</f>
        <v>0</v>
      </c>
      <c r="Q46" s="74"/>
      <c r="Z46" s="110"/>
      <c r="AA46" s="110"/>
    </row>
    <row r="47" spans="1:27" x14ac:dyDescent="0.2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3">
        <f>IFERROR(INDEX(DB_Loonkosten,MATCH(I47,'7. Rekenhulp loonkosten bet.vz.'!LoonkostenNr,0),24),"")</f>
        <v>0</v>
      </c>
      <c r="Q47" s="74"/>
      <c r="Z47" s="110"/>
      <c r="AA47" s="110"/>
    </row>
    <row r="48" spans="1:27" x14ac:dyDescent="0.2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3">
        <f>IFERROR(INDEX(DB_Loonkosten,MATCH(I48,'7. Rekenhulp loonkosten bet.vz.'!LoonkostenNr,0),24),"")</f>
        <v>0</v>
      </c>
      <c r="Q48" s="74"/>
      <c r="Z48" s="110"/>
      <c r="AA48" s="110"/>
    </row>
    <row r="49" spans="1:27" x14ac:dyDescent="0.2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3">
        <f>IFERROR(INDEX(DB_Loonkosten,MATCH(I49,'7. Rekenhulp loonkosten bet.vz.'!LoonkostenNr,0),24),"")</f>
        <v>0</v>
      </c>
      <c r="Q49" s="74"/>
      <c r="Z49" s="110"/>
      <c r="AA49" s="110"/>
    </row>
    <row r="50" spans="1:27" x14ac:dyDescent="0.2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3">
        <f>IFERROR(INDEX(DB_Loonkosten,MATCH(I50,'7. Rekenhulp loonkosten bet.vz.'!LoonkostenNr,0),24),"")</f>
        <v>0</v>
      </c>
      <c r="Q50" s="74"/>
      <c r="Z50" s="110"/>
      <c r="AA50" s="110"/>
    </row>
    <row r="51" spans="1:27" x14ac:dyDescent="0.2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3">
        <f>IFERROR(INDEX(DB_Loonkosten,MATCH(I51,'7. Rekenhulp loonkosten bet.vz.'!LoonkostenNr,0),24),"")</f>
        <v>0</v>
      </c>
      <c r="Q51" s="74"/>
      <c r="Z51" s="110"/>
      <c r="AA51" s="110"/>
    </row>
    <row r="52" spans="1:27" x14ac:dyDescent="0.2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3">
        <f>IFERROR(INDEX(DB_Loonkosten,MATCH(I52,'7. Rekenhulp loonkosten bet.vz.'!LoonkostenNr,0),24),"")</f>
        <v>0</v>
      </c>
      <c r="Q52" s="74"/>
      <c r="Z52" s="110"/>
      <c r="AA52" s="110"/>
    </row>
    <row r="53" spans="1:27" x14ac:dyDescent="0.2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3">
        <f>IFERROR(INDEX(DB_Loonkosten,MATCH(I53,'7. Rekenhulp loonkosten bet.vz.'!LoonkostenNr,0),24),"")</f>
        <v>0</v>
      </c>
      <c r="Q53" s="74"/>
      <c r="Z53" s="110"/>
      <c r="AA53" s="110"/>
    </row>
    <row r="54" spans="1:27" x14ac:dyDescent="0.2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3">
        <f>IFERROR(INDEX(DB_Loonkosten,MATCH(I54,'7. Rekenhulp loonkosten bet.vz.'!LoonkostenNr,0),24),"")</f>
        <v>0</v>
      </c>
      <c r="Q54" s="74"/>
      <c r="Z54" s="110"/>
      <c r="AA54" s="110"/>
    </row>
    <row r="55" spans="1:27" x14ac:dyDescent="0.2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3">
        <f>IFERROR(INDEX(DB_Loonkosten,MATCH(I55,'7. Rekenhulp loonkosten bet.vz.'!LoonkostenNr,0),24),"")</f>
        <v>0</v>
      </c>
      <c r="Q55" s="74"/>
      <c r="Z55" s="110"/>
      <c r="AA55" s="110"/>
    </row>
    <row r="56" spans="1:27" x14ac:dyDescent="0.2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3">
        <f>IFERROR(INDEX(DB_Loonkosten,MATCH(I56,'7. Rekenhulp loonkosten bet.vz.'!LoonkostenNr,0),24),"")</f>
        <v>0</v>
      </c>
      <c r="Q56" s="74"/>
      <c r="Z56" s="110"/>
      <c r="AA56" s="110"/>
    </row>
    <row r="57" spans="1:27" x14ac:dyDescent="0.2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3">
        <f>IFERROR(INDEX(DB_Loonkosten,MATCH(I57,'7. Rekenhulp loonkosten bet.vz.'!LoonkostenNr,0),24),"")</f>
        <v>0</v>
      </c>
      <c r="Q57" s="74"/>
      <c r="Z57" s="110"/>
      <c r="AA57" s="110"/>
    </row>
    <row r="58" spans="1:27" x14ac:dyDescent="0.2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3">
        <f>IFERROR(INDEX(DB_Loonkosten,MATCH(I58,'7. Rekenhulp loonkosten bet.vz.'!LoonkostenNr,0),24),"")</f>
        <v>0</v>
      </c>
      <c r="Q58" s="74"/>
      <c r="Z58" s="110"/>
      <c r="AA58" s="110"/>
    </row>
    <row r="59" spans="1:27" x14ac:dyDescent="0.2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3">
        <f>IFERROR(INDEX(DB_Loonkosten,MATCH(I59,'7. Rekenhulp loonkosten bet.vz.'!LoonkostenNr,0),24),"")</f>
        <v>0</v>
      </c>
      <c r="Q59" s="74"/>
      <c r="Z59" s="110"/>
      <c r="AA59" s="110"/>
    </row>
    <row r="60" spans="1:27" x14ac:dyDescent="0.2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3">
        <f>IFERROR(INDEX(DB_Loonkosten,MATCH(I60,'7. Rekenhulp loonkosten bet.vz.'!LoonkostenNr,0),24),"")</f>
        <v>0</v>
      </c>
      <c r="Q60" s="74"/>
      <c r="Z60" s="110"/>
      <c r="AA60" s="110"/>
    </row>
    <row r="61" spans="1:27" x14ac:dyDescent="0.2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3">
        <f>IFERROR(INDEX(DB_Loonkosten,MATCH(I61,'7. Rekenhulp loonkosten bet.vz.'!LoonkostenNr,0),24),"")</f>
        <v>0</v>
      </c>
      <c r="Q61" s="74"/>
      <c r="Z61" s="110"/>
      <c r="AA61" s="110"/>
    </row>
    <row r="62" spans="1:27" x14ac:dyDescent="0.2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3">
        <f>IFERROR(INDEX(DB_Loonkosten,MATCH(I62,'7. Rekenhulp loonkosten bet.vz.'!LoonkostenNr,0),24),"")</f>
        <v>0</v>
      </c>
      <c r="Q62" s="74"/>
      <c r="Z62" s="110"/>
      <c r="AA62" s="110"/>
    </row>
    <row r="63" spans="1:27" x14ac:dyDescent="0.2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3">
        <f>IFERROR(INDEX(DB_Loonkosten,MATCH(I63,'7. Rekenhulp loonkosten bet.vz.'!LoonkostenNr,0),24),"")</f>
        <v>0</v>
      </c>
      <c r="Q63" s="74"/>
      <c r="Z63" s="110"/>
      <c r="AA63" s="110"/>
    </row>
    <row r="64" spans="1:27" x14ac:dyDescent="0.2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3">
        <f>IFERROR(INDEX(DB_Loonkosten,MATCH(I64,'7. Rekenhulp loonkosten bet.vz.'!LoonkostenNr,0),24),"")</f>
        <v>0</v>
      </c>
      <c r="Q64" s="74"/>
      <c r="Z64" s="110"/>
      <c r="AA64" s="110"/>
    </row>
    <row r="65" spans="1:27" x14ac:dyDescent="0.2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3">
        <f>IFERROR(INDEX(DB_Loonkosten,MATCH(I65,'7. Rekenhulp loonkosten bet.vz.'!LoonkostenNr,0),24),"")</f>
        <v>0</v>
      </c>
      <c r="Q65" s="74"/>
      <c r="Z65" s="110"/>
      <c r="AA65" s="110"/>
    </row>
    <row r="66" spans="1:27" x14ac:dyDescent="0.2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3">
        <f>IFERROR(INDEX(DB_Loonkosten,MATCH(I66,'7. Rekenhulp loonkosten bet.vz.'!LoonkostenNr,0),24),"")</f>
        <v>0</v>
      </c>
      <c r="Q66" s="74"/>
      <c r="Z66" s="110"/>
      <c r="AA66" s="110"/>
    </row>
    <row r="67" spans="1:27" x14ac:dyDescent="0.2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3">
        <f>IFERROR(INDEX(DB_Loonkosten,MATCH(I67,'7. Rekenhulp loonkosten bet.vz.'!LoonkostenNr,0),24),"")</f>
        <v>0</v>
      </c>
      <c r="Q67" s="74"/>
      <c r="Z67" s="110"/>
      <c r="AA67" s="110"/>
    </row>
    <row r="68" spans="1:27" x14ac:dyDescent="0.2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3">
        <f>IFERROR(INDEX(DB_Loonkosten,MATCH(I68,'7. Rekenhulp loonkosten bet.vz.'!LoonkostenNr,0),24),"")</f>
        <v>0</v>
      </c>
      <c r="Q68" s="74"/>
      <c r="Z68" s="110"/>
      <c r="AA68" s="110"/>
    </row>
    <row r="69" spans="1:27" x14ac:dyDescent="0.2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3">
        <f>IFERROR(INDEX(DB_Loonkosten,MATCH(I69,'7. Rekenhulp loonkosten bet.vz.'!LoonkostenNr,0),24),"")</f>
        <v>0</v>
      </c>
      <c r="Q69" s="74"/>
      <c r="Z69" s="110"/>
      <c r="AA69" s="110"/>
    </row>
    <row r="70" spans="1:27" x14ac:dyDescent="0.2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3">
        <f>IFERROR(INDEX(DB_Loonkosten,MATCH(I70,'7. Rekenhulp loonkosten bet.vz.'!LoonkostenNr,0),24),"")</f>
        <v>0</v>
      </c>
      <c r="Q70" s="74"/>
      <c r="Z70" s="110"/>
      <c r="AA70" s="110"/>
    </row>
    <row r="71" spans="1:27" x14ac:dyDescent="0.2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3">
        <f>IFERROR(INDEX(DB_Loonkosten,MATCH(I71,'7. Rekenhulp loonkosten bet.vz.'!LoonkostenNr,0),24),"")</f>
        <v>0</v>
      </c>
      <c r="Q71" s="74"/>
      <c r="Z71" s="110"/>
      <c r="AA71" s="110"/>
    </row>
    <row r="72" spans="1:27" x14ac:dyDescent="0.2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3">
        <f>IFERROR(INDEX(DB_Loonkosten,MATCH(I72,'7. Rekenhulp loonkosten bet.vz.'!LoonkostenNr,0),24),"")</f>
        <v>0</v>
      </c>
      <c r="Q72" s="74"/>
      <c r="Z72" s="110"/>
      <c r="AA72" s="110"/>
    </row>
    <row r="73" spans="1:27" x14ac:dyDescent="0.2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3">
        <f>IFERROR(INDEX(DB_Loonkosten,MATCH(I73,'7. Rekenhulp loonkosten bet.vz.'!LoonkostenNr,0),24),"")</f>
        <v>0</v>
      </c>
      <c r="Q73" s="74"/>
      <c r="Z73" s="110"/>
      <c r="AA73" s="110"/>
    </row>
    <row r="74" spans="1:27" x14ac:dyDescent="0.2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3">
        <f>IFERROR(INDEX(DB_Loonkosten,MATCH(I74,'7. Rekenhulp loonkosten bet.vz.'!LoonkostenNr,0),24),"")</f>
        <v>0</v>
      </c>
      <c r="Q74" s="74"/>
      <c r="Z74" s="110"/>
      <c r="AA74" s="110"/>
    </row>
    <row r="75" spans="1:27" x14ac:dyDescent="0.2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3">
        <f>IFERROR(INDEX(DB_Loonkosten,MATCH(I75,'7. Rekenhulp loonkosten bet.vz.'!LoonkostenNr,0),24),"")</f>
        <v>0</v>
      </c>
      <c r="Q75" s="74"/>
      <c r="Z75" s="110"/>
      <c r="AA75" s="110"/>
    </row>
    <row r="76" spans="1:27" x14ac:dyDescent="0.2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3">
        <f>IFERROR(INDEX(DB_Loonkosten,MATCH(I76,'7. Rekenhulp loonkosten bet.vz.'!LoonkostenNr,0),24),"")</f>
        <v>0</v>
      </c>
      <c r="Q76" s="74"/>
      <c r="Z76" s="110"/>
      <c r="AA76" s="110"/>
    </row>
    <row r="77" spans="1:27" x14ac:dyDescent="0.2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3">
        <f>IFERROR(INDEX(DB_Loonkosten,MATCH(I77,'7. Rekenhulp loonkosten bet.vz.'!LoonkostenNr,0),24),"")</f>
        <v>0</v>
      </c>
      <c r="Q77" s="74"/>
      <c r="Z77" s="110"/>
      <c r="AA77" s="110"/>
    </row>
    <row r="78" spans="1:27" x14ac:dyDescent="0.2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3">
        <f>IFERROR(INDEX(DB_Loonkosten,MATCH(I78,'7. Rekenhulp loonkosten bet.vz.'!LoonkostenNr,0),24),"")</f>
        <v>0</v>
      </c>
      <c r="Q78" s="74"/>
      <c r="Z78" s="110"/>
      <c r="AA78" s="110"/>
    </row>
    <row r="79" spans="1:27" x14ac:dyDescent="0.2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3">
        <f>IFERROR(INDEX(DB_Loonkosten,MATCH(I79,'7. Rekenhulp loonkosten bet.vz.'!LoonkostenNr,0),24),"")</f>
        <v>0</v>
      </c>
      <c r="Q79" s="74"/>
      <c r="Z79" s="110"/>
      <c r="AA79" s="110"/>
    </row>
    <row r="80" spans="1:27" x14ac:dyDescent="0.2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3">
        <f>IFERROR(INDEX(DB_Loonkosten,MATCH(I80,'7. Rekenhulp loonkosten bet.vz.'!LoonkostenNr,0),24),"")</f>
        <v>0</v>
      </c>
      <c r="Q80" s="74"/>
      <c r="Z80" s="110"/>
      <c r="AA80" s="110"/>
    </row>
    <row r="81" spans="1:27" x14ac:dyDescent="0.2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3">
        <f>IFERROR(INDEX(DB_Loonkosten,MATCH(I81,'7. Rekenhulp loonkosten bet.vz.'!LoonkostenNr,0),24),"")</f>
        <v>0</v>
      </c>
      <c r="Q81" s="74"/>
      <c r="Z81" s="110"/>
      <c r="AA81" s="110"/>
    </row>
    <row r="82" spans="1:27" x14ac:dyDescent="0.2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3">
        <f>IFERROR(INDEX(DB_Loonkosten,MATCH(I82,'7. Rekenhulp loonkosten bet.vz.'!LoonkostenNr,0),24),"")</f>
        <v>0</v>
      </c>
      <c r="Q82" s="74"/>
      <c r="Z82" s="110"/>
      <c r="AA82" s="110"/>
    </row>
    <row r="83" spans="1:27" x14ac:dyDescent="0.2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3">
        <f>IFERROR(INDEX(DB_Loonkosten,MATCH(I83,'7. Rekenhulp loonkosten bet.vz.'!LoonkostenNr,0),24),"")</f>
        <v>0</v>
      </c>
      <c r="Q83" s="74"/>
      <c r="Z83" s="110"/>
      <c r="AA83" s="110"/>
    </row>
    <row r="84" spans="1:27" x14ac:dyDescent="0.2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3">
        <f>IFERROR(INDEX(DB_Loonkosten,MATCH(I84,'7. Rekenhulp loonkosten bet.vz.'!LoonkostenNr,0),24),"")</f>
        <v>0</v>
      </c>
      <c r="Q84" s="74"/>
      <c r="Z84" s="110"/>
      <c r="AA84" s="110"/>
    </row>
    <row r="85" spans="1:27" x14ac:dyDescent="0.2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3">
        <f>IFERROR(INDEX(DB_Loonkosten,MATCH(I85,'7. Rekenhulp loonkosten bet.vz.'!LoonkostenNr,0),24),"")</f>
        <v>0</v>
      </c>
      <c r="Q85" s="74"/>
      <c r="Z85" s="110"/>
      <c r="AA85" s="110"/>
    </row>
    <row r="86" spans="1:27" x14ac:dyDescent="0.2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3">
        <f>IFERROR(INDEX(DB_Loonkosten,MATCH(I86,'7. Rekenhulp loonkosten bet.vz.'!LoonkostenNr,0),24),"")</f>
        <v>0</v>
      </c>
      <c r="Q86" s="74"/>
      <c r="Z86" s="110"/>
      <c r="AA86" s="110"/>
    </row>
    <row r="87" spans="1:27" x14ac:dyDescent="0.2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3">
        <f>IFERROR(INDEX(DB_Loonkosten,MATCH(I87,'7. Rekenhulp loonkosten bet.vz.'!LoonkostenNr,0),24),"")</f>
        <v>0</v>
      </c>
      <c r="Q87" s="74"/>
      <c r="Z87" s="110"/>
      <c r="AA87" s="110"/>
    </row>
    <row r="88" spans="1:27" x14ac:dyDescent="0.2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3">
        <f>IFERROR(INDEX(DB_Loonkosten,MATCH(I88,'7. Rekenhulp loonkosten bet.vz.'!LoonkostenNr,0),24),"")</f>
        <v>0</v>
      </c>
      <c r="Q88" s="74"/>
      <c r="Z88" s="110"/>
      <c r="AA88" s="110"/>
    </row>
    <row r="89" spans="1:27" x14ac:dyDescent="0.2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3">
        <f>IFERROR(INDEX(DB_Loonkosten,MATCH(I89,'7. Rekenhulp loonkosten bet.vz.'!LoonkostenNr,0),24),"")</f>
        <v>0</v>
      </c>
      <c r="Q89" s="74"/>
      <c r="Z89" s="110"/>
      <c r="AA89" s="110"/>
    </row>
    <row r="90" spans="1:27" x14ac:dyDescent="0.2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3">
        <f>IFERROR(INDEX(DB_Loonkosten,MATCH(I90,'7. Rekenhulp loonkosten bet.vz.'!LoonkostenNr,0),24),"")</f>
        <v>0</v>
      </c>
      <c r="Q90" s="74"/>
      <c r="Z90" s="110"/>
      <c r="AA90" s="110"/>
    </row>
    <row r="91" spans="1:27" x14ac:dyDescent="0.2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3">
        <f>IFERROR(INDEX(DB_Loonkosten,MATCH(I91,'7. Rekenhulp loonkosten bet.vz.'!LoonkostenNr,0),24),"")</f>
        <v>0</v>
      </c>
      <c r="Q91" s="74"/>
      <c r="Z91" s="110"/>
      <c r="AA91" s="110"/>
    </row>
    <row r="92" spans="1:27" x14ac:dyDescent="0.2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3">
        <f>IFERROR(INDEX(DB_Loonkosten,MATCH(I92,'7. Rekenhulp loonkosten bet.vz.'!LoonkostenNr,0),24),"")</f>
        <v>0</v>
      </c>
      <c r="Q92" s="74"/>
      <c r="Z92" s="110"/>
      <c r="AA92" s="110"/>
    </row>
    <row r="93" spans="1:27" x14ac:dyDescent="0.2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3">
        <f>IFERROR(INDEX(DB_Loonkosten,MATCH(I93,'7. Rekenhulp loonkosten bet.vz.'!LoonkostenNr,0),24),"")</f>
        <v>0</v>
      </c>
      <c r="Q93" s="74"/>
      <c r="Z93" s="110"/>
      <c r="AA93" s="110"/>
    </row>
    <row r="94" spans="1:27" x14ac:dyDescent="0.2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3">
        <f>IFERROR(INDEX(DB_Loonkosten,MATCH(I94,'7. Rekenhulp loonkosten bet.vz.'!LoonkostenNr,0),24),"")</f>
        <v>0</v>
      </c>
      <c r="Q94" s="74"/>
      <c r="Z94" s="110"/>
      <c r="AA94" s="110"/>
    </row>
    <row r="95" spans="1:27" x14ac:dyDescent="0.2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3">
        <f>IFERROR(INDEX(DB_Loonkosten,MATCH(I95,'7. Rekenhulp loonkosten bet.vz.'!LoonkostenNr,0),24),"")</f>
        <v>0</v>
      </c>
      <c r="Q95" s="74"/>
    </row>
    <row r="96" spans="1:27" x14ac:dyDescent="0.2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3">
        <f>IFERROR(INDEX(DB_Loonkosten,MATCH(I96,'7. Rekenhulp loonkosten bet.vz.'!LoonkostenNr,0),24),"")</f>
        <v>0</v>
      </c>
      <c r="Q96" s="74"/>
    </row>
    <row r="97" spans="1:17" x14ac:dyDescent="0.2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3">
        <f>IFERROR(INDEX(DB_Loonkosten,MATCH(I97,'7. Rekenhulp loonkosten bet.vz.'!LoonkostenNr,0),24),"")</f>
        <v>0</v>
      </c>
      <c r="Q97" s="74"/>
    </row>
    <row r="98" spans="1:17" x14ac:dyDescent="0.2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3">
        <f>IFERROR(INDEX(DB_Loonkosten,MATCH(I98,'7. Rekenhulp loonkosten bet.vz.'!LoonkostenNr,0),24),"")</f>
        <v>0</v>
      </c>
      <c r="Q98" s="74"/>
    </row>
    <row r="99" spans="1:17" x14ac:dyDescent="0.2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3">
        <f>IFERROR(INDEX(DB_Loonkosten,MATCH(I99,'7. Rekenhulp loonkosten bet.vz.'!LoonkostenNr,0),24),"")</f>
        <v>0</v>
      </c>
      <c r="Q99" s="74"/>
    </row>
    <row r="100" spans="1:17" x14ac:dyDescent="0.2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3">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5" x14ac:dyDescent="0.25"/>
  <cols>
    <col min="1" max="1" width="31.85546875" bestFit="1" customWidth="1"/>
    <col min="2" max="2" width="1.7109375" customWidth="1"/>
    <col min="3" max="3" width="20.28515625" bestFit="1" customWidth="1"/>
    <col min="4" max="4" width="13.85546875" customWidth="1"/>
    <col min="5" max="5" width="1.7109375" customWidth="1"/>
    <col min="6" max="6" width="35.7109375" bestFit="1" customWidth="1"/>
    <col min="7" max="14" width="13.140625" bestFit="1" customWidth="1"/>
  </cols>
  <sheetData>
    <row r="1" spans="1:14" x14ac:dyDescent="0.2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25">
      <c r="A2" s="110" t="str" cm="1">
        <f t="array" ref="A2">IFERROR(_xlfn.UNIQUE(_xlfn._xlws.FILTER('8. Uitgaven betaalverzoek'!$E$2:$E$10000,'8. Uitgaven betaalverzoek'!$E$2:$E$10000&lt;&gt;"")),"")</f>
        <v/>
      </c>
      <c r="C2" s="216">
        <f ca="1">'Beoordeeld begrotingsoverzicht'!C49</f>
        <v>0</v>
      </c>
      <c r="D2" s="216">
        <f>'Beoordeeld begrotingsoverzicht'!C41</f>
        <v>0</v>
      </c>
      <c r="F2" s="110" t="str" cm="1">
        <f t="array" ref="F2">IFERROR(_xlfn.UNIQUE(_xlfn._xlws.FILTER(SubsidieTabel!$A2:$A1000,SubsidieTabel!$A2:$A1000&lt;&gt;"","")),"")</f>
        <v/>
      </c>
      <c r="G2" s="110" t="str" cm="1">
        <f t="array" ref="G2">IF($F2&lt;&gt;"",IFERROR(TRANSPOSE(_xlfn.UNIQUE(_xlfn._xlws.FILTER(SubsidieTabel!$C2:$C1000,(SubsidieTabel!$A2:$A1000=$F2)*(SubsidieTabel!$A2:$A1000&lt;&gt;""),""))),""),"")</f>
        <v/>
      </c>
      <c r="H2" s="110"/>
      <c r="I2" s="110"/>
      <c r="J2" s="110"/>
      <c r="K2" s="110"/>
      <c r="L2" s="110"/>
      <c r="M2" s="110"/>
      <c r="N2" s="110"/>
    </row>
    <row r="3" spans="1:14" x14ac:dyDescent="0.25">
      <c r="A3" s="110"/>
      <c r="C3" s="216">
        <f ca="1">$C$2-(SUMIFS('8. Uitgaven betaalverzoek'!U:U,'8. Uitgaven betaalverzoek'!F:F,"=Bijdrage*",'8. Uitgaven betaalverzoek'!A:A,"&lt;&gt;""")-SUMIF(Tb_DBKosten[],"=Bijdrage*",Tb_DBKosten[Deelbetaling_Aanvraag]))</f>
        <v>0</v>
      </c>
      <c r="D3" s="216">
        <f ca="1">$D$2-(SUMIFS('8. Uitgaven betaalverzoek'!U:U,'8. Uitgaven betaalverzoek'!F:F,"=Grond*",'8. Uitgaven betaalverzoek'!A:A,"&lt;&gt;""")-SUMIF(Tb_DBKosten[],"=Grond*",Tb_DBKosten[Deelbetaling_Aanvraag]))</f>
        <v>0</v>
      </c>
      <c r="F3" s="110"/>
      <c r="G3" s="110" t="str" cm="1">
        <f t="array" ref="G3">IF($F3&lt;&gt;"",IFERROR(TRANSPOSE(_xlfn.UNIQUE(_xlfn._xlws.FILTER(SubsidieTabel!$C3:$C1001,(SubsidieTabel!$A3:$A1001=$F3)*(SubsidieTabel!$A3:$A1001&lt;&gt;""),""))),""),"")</f>
        <v/>
      </c>
      <c r="H3" s="110"/>
      <c r="I3" s="110"/>
      <c r="J3" s="110"/>
      <c r="K3" s="110"/>
      <c r="L3" s="110"/>
      <c r="M3" s="110"/>
      <c r="N3" s="110"/>
    </row>
    <row r="4" spans="1:14" x14ac:dyDescent="0.25">
      <c r="A4" s="110"/>
      <c r="C4" s="216">
        <f ca="1">$C$2-(SUMIFS('8. Uitgaven betaalverzoek'!V:V,'8. Uitgaven betaalverzoek'!F:F,"=Bijdrage*",'8. Uitgaven betaalverzoek'!A:A,"&lt;&gt;""")-SUMIF(Tb_DBKosten[],"=Bijdrage*",Tb_DBKosten[Deelbetaling_Beoordeeld]))</f>
        <v>0</v>
      </c>
      <c r="D4" s="216">
        <f ca="1">$D$2-(SUMIFS('8. Uitgaven betaalverzoek'!V:V,'8. Uitgaven betaalverzoek'!F:F,"=Grond*",'8. Uitgaven betaalverzoek'!A:A,"&lt;&gt;""")-SUMIF(Tb_DBKosten[],"=Grond*",Tb_DBKosten[Deelbetaling_Beoordeeld]))</f>
        <v>0</v>
      </c>
      <c r="F4" s="110"/>
      <c r="G4" s="110" t="str" cm="1">
        <f t="array" ref="G4">IF($F4&lt;&gt;"",IFERROR(TRANSPOSE(_xlfn.UNIQUE(_xlfn._xlws.FILTER(SubsidieTabel!$C4:$C1002,(SubsidieTabel!$A4:$A1002=$F4)*(SubsidieTabel!$A4:$A1002&lt;&gt;""),""))),""),"")</f>
        <v/>
      </c>
      <c r="H4" s="110"/>
      <c r="I4" s="110"/>
      <c r="J4" s="110"/>
      <c r="K4" s="110"/>
      <c r="L4" s="110"/>
      <c r="M4" s="110"/>
      <c r="N4" s="110"/>
    </row>
    <row r="5" spans="1:14" x14ac:dyDescent="0.25">
      <c r="A5" s="110"/>
      <c r="F5" s="110"/>
      <c r="G5" s="110" t="str" cm="1">
        <f t="array" ref="G5">IF($F5&lt;&gt;"",IFERROR(TRANSPOSE(_xlfn.UNIQUE(_xlfn._xlws.FILTER(SubsidieTabel!$C5:$C1003,(SubsidieTabel!$A5:$A1003=$F5)*(SubsidieTabel!$A5:$A1003&lt;&gt;""),""))),""),"")</f>
        <v/>
      </c>
      <c r="H5" s="110"/>
      <c r="I5" s="110"/>
      <c r="J5" s="110"/>
      <c r="K5" s="110"/>
      <c r="L5" s="110"/>
      <c r="M5" s="110"/>
      <c r="N5" s="110"/>
    </row>
    <row r="6" spans="1:14" x14ac:dyDescent="0.25">
      <c r="A6" s="110"/>
      <c r="F6" s="110"/>
      <c r="G6" s="110" t="str" cm="1">
        <f t="array" ref="G6">IF($F6&lt;&gt;"",IFERROR(TRANSPOSE(_xlfn.UNIQUE(_xlfn._xlws.FILTER(SubsidieTabel!$C6:$C1004,(SubsidieTabel!$A6:$A1004=$F6)*(SubsidieTabel!$A6:$A1004&lt;&gt;""),""))),""),"")</f>
        <v/>
      </c>
      <c r="H6" s="110"/>
      <c r="I6" s="110"/>
      <c r="J6" s="110"/>
      <c r="K6" s="110"/>
      <c r="L6" s="110"/>
      <c r="M6" s="110"/>
      <c r="N6" s="110"/>
    </row>
    <row r="7" spans="1:14" x14ac:dyDescent="0.25">
      <c r="A7" s="110"/>
      <c r="F7" s="110"/>
      <c r="G7" s="110" t="str" cm="1">
        <f t="array" ref="G7">IF($F7&lt;&gt;"",IFERROR(TRANSPOSE(_xlfn.UNIQUE(_xlfn._xlws.FILTER(SubsidieTabel!$C7:$C1005,(SubsidieTabel!$A7:$A1005=$F7)*(SubsidieTabel!$A7:$A1005&lt;&gt;""),""))),""),"")</f>
        <v/>
      </c>
      <c r="H7" s="110"/>
      <c r="I7" s="110"/>
      <c r="J7" s="110"/>
      <c r="K7" s="110"/>
      <c r="L7" s="110"/>
      <c r="M7" s="110"/>
      <c r="N7" s="110"/>
    </row>
    <row r="8" spans="1:14" x14ac:dyDescent="0.25">
      <c r="A8" s="110"/>
      <c r="F8" s="110"/>
      <c r="G8" s="110" t="str" cm="1">
        <f t="array" ref="G8">IF($F8&lt;&gt;"",IFERROR(TRANSPOSE(_xlfn.UNIQUE(_xlfn._xlws.FILTER(SubsidieTabel!$C8:$C1006,(SubsidieTabel!$A8:$A1006=$F8)*(SubsidieTabel!$A8:$A1006&lt;&gt;""),""))),""),"")</f>
        <v/>
      </c>
      <c r="H8" s="110"/>
      <c r="I8" s="110"/>
      <c r="J8" s="110"/>
      <c r="K8" s="110"/>
      <c r="L8" s="110"/>
      <c r="M8" s="110"/>
      <c r="N8" s="110"/>
    </row>
    <row r="9" spans="1:14" x14ac:dyDescent="0.25">
      <c r="A9" s="110"/>
      <c r="F9" s="110"/>
      <c r="G9" s="110" t="str" cm="1">
        <f t="array" ref="G9">IF($F9&lt;&gt;"",IFERROR(TRANSPOSE(_xlfn.UNIQUE(_xlfn._xlws.FILTER(SubsidieTabel!$C9:$C1007,(SubsidieTabel!$A9:$A1007=$F9)*(SubsidieTabel!$A9:$A1007&lt;&gt;""),""))),""),"")</f>
        <v/>
      </c>
      <c r="H9" s="110"/>
      <c r="I9" s="110"/>
      <c r="J9" s="110"/>
      <c r="K9" s="110"/>
      <c r="L9" s="110"/>
      <c r="M9" s="110"/>
      <c r="N9" s="110"/>
    </row>
    <row r="10" spans="1:14" x14ac:dyDescent="0.25">
      <c r="A10" s="110"/>
      <c r="F10" s="110"/>
      <c r="G10" s="110" t="str" cm="1">
        <f t="array" ref="G10">IF($F10&lt;&gt;"",IFERROR(TRANSPOSE(_xlfn.UNIQUE(_xlfn._xlws.FILTER(SubsidieTabel!$C10:$C1008,(SubsidieTabel!$A10:$A1008=$F10)*(SubsidieTabel!$A10:$A1008&lt;&gt;""),""))),""),"")</f>
        <v/>
      </c>
      <c r="H10" s="110"/>
      <c r="I10" s="110"/>
      <c r="J10" s="110"/>
      <c r="K10" s="110"/>
      <c r="L10" s="110"/>
      <c r="M10" s="110"/>
      <c r="N10" s="110"/>
    </row>
    <row r="11" spans="1:14" x14ac:dyDescent="0.25">
      <c r="A11" s="110"/>
      <c r="F11" s="110"/>
      <c r="G11" s="110" t="str" cm="1">
        <f t="array" ref="G11">IF($F11&lt;&gt;"",IFERROR(TRANSPOSE(_xlfn.UNIQUE(_xlfn._xlws.FILTER(SubsidieTabel!$C11:$C1009,(SubsidieTabel!$A11:$A1009=$F11)*(SubsidieTabel!$A11:$A1009&lt;&gt;""),""))),""),"")</f>
        <v/>
      </c>
      <c r="H11" s="110"/>
      <c r="I11" s="110"/>
      <c r="J11" s="110"/>
      <c r="K11" s="110"/>
      <c r="L11" s="110"/>
      <c r="M11" s="110"/>
      <c r="N11" s="110"/>
    </row>
    <row r="12" spans="1:14" x14ac:dyDescent="0.25">
      <c r="A12" s="110"/>
      <c r="F12" s="110"/>
      <c r="G12" s="110" t="str" cm="1">
        <f t="array" ref="G12">IF($F12&lt;&gt;"",IFERROR(TRANSPOSE(_xlfn.UNIQUE(_xlfn._xlws.FILTER(SubsidieTabel!$C12:$C1010,(SubsidieTabel!$A12:$A1010=$F12)*(SubsidieTabel!$A12:$A1010&lt;&gt;""),""))),""),"")</f>
        <v/>
      </c>
      <c r="H12" s="110"/>
      <c r="I12" s="110"/>
      <c r="J12" s="110"/>
      <c r="K12" s="110"/>
      <c r="L12" s="110"/>
      <c r="M12" s="110"/>
      <c r="N12" s="110"/>
    </row>
    <row r="13" spans="1:14" x14ac:dyDescent="0.25">
      <c r="A13" s="110"/>
      <c r="F13" s="110"/>
      <c r="G13" s="110" t="str" cm="1">
        <f t="array" ref="G13">IF($F13&lt;&gt;"",IFERROR(TRANSPOSE(_xlfn.UNIQUE(_xlfn._xlws.FILTER(SubsidieTabel!$C13:$C1011,(SubsidieTabel!$A13:$A1011=$F13)*(SubsidieTabel!$A13:$A1011&lt;&gt;""),""))),""),"")</f>
        <v/>
      </c>
      <c r="H13" s="110"/>
      <c r="I13" s="110"/>
      <c r="J13" s="110"/>
      <c r="K13" s="110"/>
      <c r="L13" s="110"/>
      <c r="M13" s="110"/>
      <c r="N13" s="110"/>
    </row>
    <row r="14" spans="1:14" x14ac:dyDescent="0.25">
      <c r="A14" s="110"/>
      <c r="F14" s="110"/>
      <c r="G14" s="110" t="str" cm="1">
        <f t="array" ref="G14">IF($F14&lt;&gt;"",IFERROR(TRANSPOSE(_xlfn.UNIQUE(_xlfn._xlws.FILTER(SubsidieTabel!$C14:$C1012,(SubsidieTabel!$A14:$A1012=$F14)*(SubsidieTabel!$A14:$A1012&lt;&gt;""),""))),""),"")</f>
        <v/>
      </c>
      <c r="H14" s="110"/>
      <c r="I14" s="110"/>
      <c r="J14" s="110"/>
      <c r="K14" s="110"/>
      <c r="L14" s="110"/>
      <c r="M14" s="110"/>
      <c r="N14" s="110"/>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9" width="13.140625" bestFit="1" customWidth="1"/>
  </cols>
  <sheetData>
    <row r="1" spans="1:9" x14ac:dyDescent="0.25">
      <c r="A1" s="410" t="s">
        <v>44</v>
      </c>
      <c r="B1" s="410"/>
      <c r="C1" s="30"/>
      <c r="D1" s="177"/>
      <c r="E1" s="177" t="s">
        <v>45</v>
      </c>
    </row>
    <row r="2" spans="1:9" s="2" customFormat="1" ht="75" x14ac:dyDescent="0.25">
      <c r="A2" s="31" t="s">
        <v>46</v>
      </c>
      <c r="B2" s="32" t="s">
        <v>47</v>
      </c>
      <c r="C2" s="32" t="s">
        <v>47</v>
      </c>
      <c r="D2" s="5" t="s">
        <v>152</v>
      </c>
      <c r="E2" s="5" t="s">
        <v>134</v>
      </c>
      <c r="F2" s="5" t="s">
        <v>132</v>
      </c>
      <c r="G2" s="3"/>
      <c r="H2" s="3"/>
      <c r="I2" s="3"/>
    </row>
    <row r="3" spans="1:9" x14ac:dyDescent="0.25">
      <c r="A3" t="s">
        <v>8</v>
      </c>
      <c r="B3" t="s">
        <v>8</v>
      </c>
      <c r="C3" t="s">
        <v>48</v>
      </c>
      <c r="D3" s="18" t="s">
        <v>8</v>
      </c>
      <c r="E3" s="18" t="str">
        <f>$D3</f>
        <v>Arbeidskosten</v>
      </c>
      <c r="F3" s="18" t="str">
        <f>$D3</f>
        <v>Arbeidskosten</v>
      </c>
    </row>
    <row r="4" spans="1:9" x14ac:dyDescent="0.2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2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2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2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2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2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2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2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25">
      <c r="A12" t="s">
        <v>52</v>
      </c>
      <c r="B12" t="s">
        <v>8</v>
      </c>
      <c r="C12" t="s">
        <v>49</v>
      </c>
      <c r="D12" s="18"/>
      <c r="E12" s="18" t="str">
        <f>IFERROR(IF((VLOOKUP(Openstelling_Keuze,Tb_Openstelling[],2,0)=1),IF(D12&lt;&gt;"",D12,""),IF(D13&lt;&gt;"",D13,"")),IF(D12&lt;&gt;"",D12,""))</f>
        <v/>
      </c>
    </row>
    <row r="13" spans="1:9" x14ac:dyDescent="0.25">
      <c r="A13" t="s">
        <v>307</v>
      </c>
      <c r="B13" t="s">
        <v>8</v>
      </c>
      <c r="C13" t="s">
        <v>49</v>
      </c>
      <c r="E13" s="18" t="str">
        <f>IFERROR(IF((VLOOKUP(Openstelling_Keuze,Tb_Openstelling[],2,0)=1),IF(D13&lt;&gt;"",D13,""),IF(D14&lt;&gt;"",D14,"")),IF(D13&lt;&gt;"",D13,""))</f>
        <v/>
      </c>
    </row>
    <row r="14" spans="1:9" x14ac:dyDescent="0.25">
      <c r="A14" t="s">
        <v>53</v>
      </c>
      <c r="B14" t="s">
        <v>8</v>
      </c>
      <c r="C14" t="s">
        <v>49</v>
      </c>
      <c r="E14" s="18" t="str">
        <f>IFERROR(IF((VLOOKUP(Openstelling_Keuze,Tb_Openstelling[],2,0)=1),IF(D14&lt;&gt;"",D14,""),IF(D15&lt;&gt;"",D15,"")),IF(D14&lt;&gt;"",D14,""))</f>
        <v/>
      </c>
    </row>
    <row r="15" spans="1:9" x14ac:dyDescent="0.25">
      <c r="A15" t="s">
        <v>43</v>
      </c>
      <c r="B15" t="s">
        <v>8</v>
      </c>
      <c r="C15" t="s">
        <v>49</v>
      </c>
      <c r="E15" s="18" t="str">
        <f>IFERROR(IF((VLOOKUP(Openstelling_Keuze,Tb_Openstelling[],2,0)=1),IF(D15&lt;&gt;"",D15,""),IF(D16&lt;&gt;"",D16,"")),IF(D15&lt;&gt;"",D15,""))</f>
        <v/>
      </c>
    </row>
    <row r="19" spans="1:9" x14ac:dyDescent="0.25">
      <c r="A19" s="75" t="s">
        <v>133</v>
      </c>
      <c r="B19" s="75" t="s">
        <v>153</v>
      </c>
      <c r="C19" s="75" t="s">
        <v>154</v>
      </c>
      <c r="D19" s="75" t="s">
        <v>155</v>
      </c>
      <c r="E19" s="75" t="s">
        <v>156</v>
      </c>
      <c r="F19" s="75" t="s">
        <v>157</v>
      </c>
      <c r="G19" s="75" t="s">
        <v>158</v>
      </c>
      <c r="H19" s="75" t="s">
        <v>159</v>
      </c>
      <c r="I19" s="75" t="s">
        <v>160</v>
      </c>
    </row>
    <row r="20" spans="1:9" x14ac:dyDescent="0.25">
      <c r="A20" s="110" cm="1">
        <f t="array" aca="1" ref="A20" ca="1">OFFSET(Lijsten!$AC$1,1,1,IF(COUNTIF(Lijsten!$AC$1:$AC$100,"&lt;&gt;"&amp;"")&gt;1,COUNTIF(Lijsten!$AC$1:$AC$100,"&lt;&gt;"&amp;"")-1,COUNTIF(Lijsten!$AC$1:$AC$100,"&lt;&gt;"&amp;"")))</f>
        <v>0</v>
      </c>
      <c r="B20" s="110" t="str" cm="1">
        <f t="array" aca="1" ref="B20" ca="1">IFERROR(_xlfn._xlws.FILTER(OFFSET(Lijsten!$AZ:$BG,MATCH(A20,Lijsten!AD:AD,0)-1,,1),OFFSET(Lijsten!$AZ:$BG,MATCH(A20,Lijsten!AD:AD,0)-1,,1)&lt;&gt;""),"")</f>
        <v/>
      </c>
      <c r="C20" s="110"/>
      <c r="D20" s="110"/>
      <c r="E20" s="110"/>
      <c r="F20" s="110"/>
      <c r="G20" s="110"/>
      <c r="H20" s="110"/>
      <c r="I20" s="110"/>
    </row>
    <row r="21" spans="1:9" x14ac:dyDescent="0.25">
      <c r="A21" s="110"/>
      <c r="B21" s="110" t="str" cm="1">
        <f t="array" aca="1" ref="B21" ca="1">IFERROR(_xlfn._xlws.FILTER(OFFSET(Lijsten!$AZ:$BG,MATCH(A21,Lijsten!AD:AD,0)-1,,1),OFFSET(Lijsten!$AZ:$BG,MATCH(A21,Lijsten!AD:AD,0)-1,,1)&lt;&gt;""),"")</f>
        <v/>
      </c>
      <c r="C21" s="110"/>
      <c r="D21" s="110"/>
      <c r="E21" s="110"/>
      <c r="F21" s="110"/>
      <c r="G21" s="110"/>
      <c r="H21" s="110"/>
      <c r="I21" s="110"/>
    </row>
    <row r="22" spans="1:9" x14ac:dyDescent="0.25">
      <c r="A22" s="110"/>
      <c r="B22" s="110" t="str" cm="1">
        <f t="array" aca="1" ref="B22" ca="1">IFERROR(_xlfn._xlws.FILTER(OFFSET(Lijsten!$AZ:$BG,MATCH(A22,Lijsten!AD:AD,0)-1,,1),OFFSET(Lijsten!$AZ:$BG,MATCH(A22,Lijsten!AD:AD,0)-1,,1)&lt;&gt;""),"")</f>
        <v/>
      </c>
      <c r="C22" s="110"/>
      <c r="D22" s="110"/>
      <c r="E22" s="110"/>
      <c r="F22" s="110"/>
      <c r="G22" s="110"/>
      <c r="H22" s="110"/>
      <c r="I22" s="110"/>
    </row>
    <row r="23" spans="1:9" x14ac:dyDescent="0.25">
      <c r="A23" s="110"/>
      <c r="B23" s="110" t="str" cm="1">
        <f t="array" aca="1" ref="B23" ca="1">IFERROR(_xlfn._xlws.FILTER(OFFSET(Lijsten!$AZ:$BG,MATCH(A23,Lijsten!AD:AD,0)-1,,1),OFFSET(Lijsten!$AZ:$BG,MATCH(A23,Lijsten!AD:AD,0)-1,,1)&lt;&gt;""),"")</f>
        <v/>
      </c>
      <c r="C23" s="110"/>
      <c r="D23" s="110"/>
      <c r="E23" s="110"/>
      <c r="F23" s="110"/>
      <c r="G23" s="110"/>
      <c r="H23" s="110"/>
      <c r="I23" s="110"/>
    </row>
    <row r="24" spans="1:9" x14ac:dyDescent="0.25">
      <c r="A24" s="110"/>
      <c r="B24" s="110" t="str" cm="1">
        <f t="array" aca="1" ref="B24" ca="1">IFERROR(_xlfn._xlws.FILTER(OFFSET(Lijsten!$AZ:$BG,MATCH(A24,Lijsten!AD:AD,0)-1,,1),OFFSET(Lijsten!$AZ:$BG,MATCH(A24,Lijsten!AD:AD,0)-1,,1)&lt;&gt;""),"")</f>
        <v/>
      </c>
      <c r="C24" s="110"/>
      <c r="D24" s="110"/>
      <c r="E24" s="110"/>
      <c r="F24" s="110"/>
      <c r="G24" s="110"/>
      <c r="H24" s="110"/>
      <c r="I24" s="110"/>
    </row>
    <row r="25" spans="1:9" x14ac:dyDescent="0.25">
      <c r="A25" s="110"/>
      <c r="B25" s="110" t="str" cm="1">
        <f t="array" aca="1" ref="B25" ca="1">IFERROR(_xlfn._xlws.FILTER(OFFSET(Lijsten!$AZ:$BG,MATCH(A25,Lijsten!AD:AD,0)-1,,1),OFFSET(Lijsten!$AZ:$BG,MATCH(A25,Lijsten!AD:AD,0)-1,,1)&lt;&gt;""),"")</f>
        <v/>
      </c>
      <c r="C25" s="110"/>
      <c r="D25" s="110"/>
      <c r="E25" s="110"/>
      <c r="F25" s="110"/>
      <c r="G25" s="110"/>
      <c r="H25" s="110"/>
      <c r="I25" s="110"/>
    </row>
    <row r="26" spans="1:9" x14ac:dyDescent="0.25">
      <c r="A26" s="110"/>
      <c r="B26" s="110" t="str" cm="1">
        <f t="array" aca="1" ref="B26" ca="1">IFERROR(_xlfn._xlws.FILTER(OFFSET(Lijsten!$AZ:$BG,MATCH(A26,Lijsten!AD:AD,0)-1,,1),OFFSET(Lijsten!$AZ:$BG,MATCH(A26,Lijsten!AD:AD,0)-1,,1)&lt;&gt;""),"")</f>
        <v/>
      </c>
      <c r="C26" s="110"/>
      <c r="D26" s="110"/>
      <c r="E26" s="110"/>
      <c r="F26" s="110"/>
      <c r="G26" s="110"/>
      <c r="H26" s="110"/>
      <c r="I26" s="110"/>
    </row>
    <row r="27" spans="1:9" x14ac:dyDescent="0.25">
      <c r="A27" s="110"/>
      <c r="B27" s="110" t="str" cm="1">
        <f t="array" aca="1" ref="B27" ca="1">IFERROR(_xlfn._xlws.FILTER(OFFSET(Lijsten!$AZ:$BG,MATCH(A27,Lijsten!AD:AD,0)-1,,1),OFFSET(Lijsten!$AZ:$BG,MATCH(A27,Lijsten!AD:AD,0)-1,,1)&lt;&gt;""),"")</f>
        <v/>
      </c>
      <c r="C27" s="110"/>
      <c r="D27" s="110"/>
      <c r="E27" s="110"/>
      <c r="F27" s="110"/>
      <c r="G27" s="110"/>
      <c r="H27" s="110"/>
      <c r="I27" s="110"/>
    </row>
    <row r="28" spans="1:9" x14ac:dyDescent="0.25">
      <c r="A28" s="110"/>
      <c r="B28" s="110" t="str" cm="1">
        <f t="array" aca="1" ref="B28" ca="1">IFERROR(_xlfn._xlws.FILTER(OFFSET(Lijsten!$AZ:$BG,MATCH(A28,Lijsten!AD:AD,0)-1,,1),OFFSET(Lijsten!$AZ:$BG,MATCH(A28,Lijsten!AD:AD,0)-1,,1)&lt;&gt;""),"")</f>
        <v/>
      </c>
      <c r="C28" s="110"/>
      <c r="D28" s="110"/>
      <c r="E28" s="110"/>
      <c r="F28" s="110"/>
      <c r="G28" s="110"/>
      <c r="H28" s="110"/>
      <c r="I28" s="110"/>
    </row>
    <row r="29" spans="1:9" x14ac:dyDescent="0.25">
      <c r="A29" s="110"/>
      <c r="B29" s="110" t="str" cm="1">
        <f t="array" aca="1" ref="B29" ca="1">IFERROR(_xlfn._xlws.FILTER(OFFSET(Lijsten!$AZ:$BG,MATCH(A29,Lijsten!AD:AD,0)-1,,1),OFFSET(Lijsten!$AZ:$BG,MATCH(A29,Lijsten!AD:AD,0)-1,,1)&lt;&gt;""),"")</f>
        <v/>
      </c>
      <c r="C29" s="110"/>
      <c r="D29" s="110"/>
      <c r="E29" s="110"/>
      <c r="F29" s="110"/>
      <c r="G29" s="110"/>
      <c r="H29" s="110"/>
      <c r="I29" s="110"/>
    </row>
    <row r="30" spans="1:9" x14ac:dyDescent="0.25">
      <c r="A30" s="110"/>
      <c r="B30" s="110" t="str" cm="1">
        <f t="array" aca="1" ref="B30" ca="1">IFERROR(_xlfn._xlws.FILTER(OFFSET(Lijsten!$AZ:$BG,MATCH(A30,Lijsten!AD:AD,0)-1,,1),OFFSET(Lijsten!$AZ:$BG,MATCH(A30,Lijsten!AD:AD,0)-1,,1)&lt;&gt;""),"")</f>
        <v/>
      </c>
      <c r="C30" s="110"/>
      <c r="D30" s="110"/>
      <c r="E30" s="110"/>
      <c r="F30" s="110"/>
      <c r="G30" s="110"/>
      <c r="H30" s="110"/>
      <c r="I30" s="110"/>
    </row>
    <row r="31" spans="1:9" x14ac:dyDescent="0.25">
      <c r="A31" s="110"/>
      <c r="B31" s="110" t="str" cm="1">
        <f t="array" aca="1" ref="B31" ca="1">IFERROR(_xlfn._xlws.FILTER(OFFSET(Lijsten!$AZ:$BG,MATCH(A31,Lijsten!AD:AD,0)-1,,1),OFFSET(Lijsten!$AZ:$BG,MATCH(A31,Lijsten!AD:AD,0)-1,,1)&lt;&gt;""),"")</f>
        <v/>
      </c>
      <c r="C31" s="110"/>
      <c r="D31" s="110"/>
      <c r="E31" s="110"/>
      <c r="F31" s="110"/>
      <c r="G31" s="110"/>
      <c r="H31" s="110"/>
      <c r="I31" s="110"/>
    </row>
    <row r="33" spans="1:9" x14ac:dyDescent="0.25">
      <c r="A33" s="75" t="s">
        <v>208</v>
      </c>
      <c r="B33" s="75" t="s">
        <v>153</v>
      </c>
      <c r="C33" s="75" t="s">
        <v>154</v>
      </c>
      <c r="D33" s="75" t="s">
        <v>155</v>
      </c>
      <c r="E33" s="75" t="s">
        <v>156</v>
      </c>
      <c r="F33" s="75" t="s">
        <v>157</v>
      </c>
      <c r="G33" s="75" t="s">
        <v>158</v>
      </c>
      <c r="H33" s="75" t="s">
        <v>159</v>
      </c>
      <c r="I33" s="75" t="s">
        <v>160</v>
      </c>
    </row>
    <row r="34" spans="1:9" x14ac:dyDescent="0.25">
      <c r="A34" s="110" cm="1">
        <f t="array" aca="1" ref="A34" ca="1">OFFSET(Lijsten!$AC$1,1,1,IF(COUNTIF(Lijsten!$AC$1:$AC$100,"&lt;&gt;"&amp;"")&gt;1,COUNTIF(Lijsten!$AC$1:$AC$100,"&lt;&gt;"&amp;"")-1,COUNTIF(Lijsten!$AC$1:$AC$100,"&lt;&gt;"&amp;"")))</f>
        <v>0</v>
      </c>
      <c r="B34" s="110" t="str" cm="1">
        <f t="array" aca="1" ref="B34" ca="1">TRANSPOSE(_xlfn.UNIQUE(TRANSPOSE(B48:I48)))</f>
        <v/>
      </c>
      <c r="C34" s="110"/>
      <c r="D34" s="110"/>
      <c r="E34" s="110"/>
      <c r="F34" s="110"/>
      <c r="G34" s="110"/>
      <c r="H34" s="110"/>
      <c r="I34" s="110"/>
    </row>
    <row r="35" spans="1:9" x14ac:dyDescent="0.25">
      <c r="A35" s="110"/>
      <c r="B35" s="110" t="str" cm="1">
        <f t="array" aca="1" ref="B35" ca="1">TRANSPOSE(_xlfn.UNIQUE(TRANSPOSE(B49:I49)))</f>
        <v/>
      </c>
      <c r="C35" s="110"/>
      <c r="D35" s="110"/>
      <c r="E35" s="110"/>
      <c r="F35" s="110"/>
      <c r="G35" s="110"/>
      <c r="H35" s="110"/>
      <c r="I35" s="110"/>
    </row>
    <row r="36" spans="1:9" x14ac:dyDescent="0.25">
      <c r="A36" s="110"/>
      <c r="B36" s="110" t="str" cm="1">
        <f t="array" aca="1" ref="B36" ca="1">TRANSPOSE(_xlfn.UNIQUE(TRANSPOSE(B50:I50)))</f>
        <v/>
      </c>
      <c r="C36" s="110"/>
      <c r="D36" s="110"/>
      <c r="E36" s="110"/>
      <c r="F36" s="110"/>
      <c r="G36" s="110"/>
      <c r="H36" s="110"/>
      <c r="I36" s="110"/>
    </row>
    <row r="37" spans="1:9" x14ac:dyDescent="0.25">
      <c r="A37" s="110"/>
      <c r="B37" s="110" t="str" cm="1">
        <f t="array" aca="1" ref="B37" ca="1">TRANSPOSE(_xlfn.UNIQUE(TRANSPOSE(B51:I51)))</f>
        <v/>
      </c>
      <c r="C37" s="110"/>
      <c r="D37" s="110"/>
      <c r="E37" s="110"/>
      <c r="F37" s="110"/>
      <c r="G37" s="110"/>
      <c r="H37" s="110"/>
      <c r="I37" s="110"/>
    </row>
    <row r="38" spans="1:9" x14ac:dyDescent="0.25">
      <c r="A38" s="110"/>
      <c r="B38" s="110" t="str" cm="1">
        <f t="array" aca="1" ref="B38" ca="1">TRANSPOSE(_xlfn.UNIQUE(TRANSPOSE(B52:I52)))</f>
        <v/>
      </c>
      <c r="C38" s="110"/>
      <c r="D38" s="110"/>
      <c r="E38" s="110"/>
      <c r="F38" s="110"/>
      <c r="G38" s="110"/>
      <c r="H38" s="110"/>
      <c r="I38" s="110"/>
    </row>
    <row r="39" spans="1:9" x14ac:dyDescent="0.25">
      <c r="A39" s="110"/>
      <c r="B39" s="110" t="str" cm="1">
        <f t="array" aca="1" ref="B39" ca="1">TRANSPOSE(_xlfn.UNIQUE(TRANSPOSE(B53:I53)))</f>
        <v/>
      </c>
      <c r="C39" s="110"/>
      <c r="D39" s="110"/>
      <c r="E39" s="110"/>
      <c r="F39" s="110"/>
      <c r="G39" s="110"/>
      <c r="H39" s="110"/>
      <c r="I39" s="110"/>
    </row>
    <row r="40" spans="1:9" x14ac:dyDescent="0.25">
      <c r="A40" s="110"/>
      <c r="B40" s="110" t="str" cm="1">
        <f t="array" aca="1" ref="B40" ca="1">TRANSPOSE(_xlfn.UNIQUE(TRANSPOSE(B54:I54)))</f>
        <v/>
      </c>
      <c r="C40" s="110"/>
      <c r="D40" s="110"/>
      <c r="E40" s="110"/>
      <c r="F40" s="110"/>
      <c r="G40" s="110"/>
      <c r="H40" s="110"/>
      <c r="I40" s="110"/>
    </row>
    <row r="41" spans="1:9" x14ac:dyDescent="0.25">
      <c r="A41" s="110"/>
      <c r="B41" s="110" t="str" cm="1">
        <f t="array" aca="1" ref="B41" ca="1">TRANSPOSE(_xlfn.UNIQUE(TRANSPOSE(B55:I55)))</f>
        <v/>
      </c>
      <c r="C41" s="110"/>
      <c r="D41" s="110"/>
      <c r="E41" s="110"/>
      <c r="F41" s="110"/>
      <c r="G41" s="110"/>
      <c r="H41" s="110"/>
      <c r="I41" s="110"/>
    </row>
    <row r="42" spans="1:9" x14ac:dyDescent="0.25">
      <c r="A42" s="110"/>
      <c r="B42" s="110" t="str" cm="1">
        <f t="array" aca="1" ref="B42" ca="1">TRANSPOSE(_xlfn.UNIQUE(TRANSPOSE(B56:I56)))</f>
        <v/>
      </c>
      <c r="C42" s="110"/>
      <c r="D42" s="110"/>
      <c r="E42" s="110"/>
      <c r="F42" s="110"/>
      <c r="G42" s="110"/>
      <c r="H42" s="110"/>
      <c r="I42" s="110"/>
    </row>
    <row r="43" spans="1:9" x14ac:dyDescent="0.25">
      <c r="A43" s="110"/>
      <c r="B43" s="110" t="str" cm="1">
        <f t="array" aca="1" ref="B43" ca="1">TRANSPOSE(_xlfn.UNIQUE(TRANSPOSE(B57:I57)))</f>
        <v/>
      </c>
      <c r="C43" s="110"/>
      <c r="D43" s="110"/>
      <c r="E43" s="110"/>
      <c r="F43" s="110"/>
      <c r="G43" s="110"/>
      <c r="H43" s="110"/>
      <c r="I43" s="110"/>
    </row>
    <row r="44" spans="1:9" x14ac:dyDescent="0.25">
      <c r="A44" s="110"/>
      <c r="B44" s="110" t="str" cm="1">
        <f t="array" aca="1" ref="B44" ca="1">TRANSPOSE(_xlfn.UNIQUE(TRANSPOSE(B58:I58)))</f>
        <v/>
      </c>
      <c r="C44" s="110"/>
      <c r="D44" s="110"/>
      <c r="E44" s="110"/>
      <c r="F44" s="110"/>
      <c r="G44" s="110"/>
      <c r="H44" s="110"/>
      <c r="I44" s="110"/>
    </row>
    <row r="45" spans="1:9" x14ac:dyDescent="0.25">
      <c r="A45" s="110"/>
      <c r="B45" s="110" t="str" cm="1">
        <f t="array" aca="1" ref="B45" ca="1">TRANSPOSE(_xlfn.UNIQUE(TRANSPOSE(B59:I59)))</f>
        <v/>
      </c>
      <c r="C45" s="110"/>
      <c r="D45" s="110"/>
      <c r="E45" s="110"/>
      <c r="F45" s="110"/>
      <c r="G45" s="110"/>
      <c r="H45" s="110"/>
      <c r="I45" s="110"/>
    </row>
    <row r="47" spans="1:9" x14ac:dyDescent="0.25">
      <c r="A47" s="75" t="s">
        <v>209</v>
      </c>
      <c r="B47" s="75" t="s">
        <v>153</v>
      </c>
      <c r="C47" s="75" t="s">
        <v>154</v>
      </c>
      <c r="D47" s="75" t="s">
        <v>155</v>
      </c>
      <c r="E47" s="75" t="s">
        <v>156</v>
      </c>
      <c r="F47" s="75" t="s">
        <v>157</v>
      </c>
      <c r="G47" s="75" t="s">
        <v>158</v>
      </c>
      <c r="H47" s="75" t="s">
        <v>159</v>
      </c>
      <c r="I47" s="75" t="s">
        <v>160</v>
      </c>
    </row>
    <row r="48" spans="1:9" x14ac:dyDescent="0.25">
      <c r="A48" s="110" cm="1">
        <f t="array" aca="1" ref="A48" ca="1">OFFSET(Lijsten!$AC$1,1,1,IF(COUNTIF(Lijsten!$AC$1:$AC$100,"&lt;&gt;"&amp;"")&gt;1,COUNTIF(Lijsten!$AC$1:$AC$100,"&lt;&gt;"&amp;"")-1,COUNTIF(Lijsten!$AC$1:$AC$100,"&lt;&gt;"&amp;"")))</f>
        <v>0</v>
      </c>
      <c r="B48" s="110" t="str">
        <f ca="1">IF(AND(B20&lt;&gt;"",B20&lt;&gt;0),VLOOKUP(B20,Tb_ProjectKosten[],4,0),"")</f>
        <v/>
      </c>
      <c r="C48" s="110" t="str">
        <f>IF(AND(C20&lt;&gt;"",C20&lt;&gt;0),VLOOKUP(C20,Tb_ProjectKosten[],4,0),"")</f>
        <v/>
      </c>
      <c r="D48" s="110" t="str">
        <f>IF(AND(D20&lt;&gt;"",D20&lt;&gt;0),VLOOKUP(D20,Tb_ProjectKosten[],4,0),"")</f>
        <v/>
      </c>
      <c r="E48" s="110" t="str">
        <f>IF(AND(E20&lt;&gt;"",E20&lt;&gt;0),VLOOKUP(E20,Tb_ProjectKosten[],4,0),"")</f>
        <v/>
      </c>
      <c r="F48" s="110" t="str">
        <f>IF(AND(F20&lt;&gt;"",F20&lt;&gt;0),VLOOKUP(F20,Tb_ProjectKosten[],4,0),"")</f>
        <v/>
      </c>
      <c r="G48" s="110" t="str">
        <f>IF(AND(G20&lt;&gt;"",G20&lt;&gt;0),VLOOKUP(G20,Tb_ProjectKosten[],4,0),"")</f>
        <v/>
      </c>
      <c r="H48" s="110" t="str">
        <f>IF(AND(H20&lt;&gt;"",H20&lt;&gt;0),VLOOKUP(H20,Tb_ProjectKosten[],4,0),"")</f>
        <v/>
      </c>
      <c r="I48" s="110" t="str">
        <f>IF(AND(I20&lt;&gt;"",I20&lt;&gt;0),VLOOKUP(I20,Tb_ProjectKosten[],4,0),"")</f>
        <v/>
      </c>
    </row>
    <row r="49" spans="1:9" x14ac:dyDescent="0.25">
      <c r="A49" s="110"/>
      <c r="B49" s="110" t="str">
        <f ca="1">IF(B21&lt;&gt;"",VLOOKUP(B21,Tb_ProjectKosten[],4,0),"")</f>
        <v/>
      </c>
      <c r="C49" s="110" t="str">
        <f>IF(C21&lt;&gt;"",VLOOKUP(C21,Tb_ProjectKosten[],4,0),"")</f>
        <v/>
      </c>
      <c r="D49" s="110" t="str">
        <f>IF(D21&lt;&gt;"",VLOOKUP(D21,Tb_ProjectKosten[],4,0),"")</f>
        <v/>
      </c>
      <c r="E49" s="110" t="str">
        <f>IF(E21&lt;&gt;"",VLOOKUP(E21,Tb_ProjectKosten[],4,0),"")</f>
        <v/>
      </c>
      <c r="F49" s="110" t="str">
        <f>IF(F21&lt;&gt;"",VLOOKUP(F21,Tb_ProjectKosten[],4,0),"")</f>
        <v/>
      </c>
      <c r="G49" s="110" t="str">
        <f>IF(G21&lt;&gt;"",VLOOKUP(G21,Tb_ProjectKosten[],4,0),"")</f>
        <v/>
      </c>
      <c r="H49" s="110" t="str">
        <f>IF(H21&lt;&gt;"",VLOOKUP(H21,Tb_ProjectKosten[],4,0),"")</f>
        <v/>
      </c>
      <c r="I49" s="110" t="str">
        <f>IF(I21&lt;&gt;"",VLOOKUP(I21,Tb_ProjectKosten[],4,0),"")</f>
        <v/>
      </c>
    </row>
    <row r="50" spans="1:9" x14ac:dyDescent="0.25">
      <c r="A50" s="110"/>
      <c r="B50" s="110" t="str">
        <f ca="1">IF(B22&lt;&gt;"",VLOOKUP(B22,Tb_ProjectKosten[],4,0),"")</f>
        <v/>
      </c>
      <c r="C50" s="110" t="str">
        <f>IF(C22&lt;&gt;"",VLOOKUP(C22,Tb_ProjectKosten[],4,0),"")</f>
        <v/>
      </c>
      <c r="D50" s="110" t="str">
        <f>IF(D22&lt;&gt;"",VLOOKUP(D22,Tb_ProjectKosten[],4,0),"")</f>
        <v/>
      </c>
      <c r="E50" s="110" t="str">
        <f>IF(E22&lt;&gt;"",VLOOKUP(E22,Tb_ProjectKosten[],4,0),"")</f>
        <v/>
      </c>
      <c r="F50" s="110" t="str">
        <f>IF(F22&lt;&gt;"",VLOOKUP(F22,Tb_ProjectKosten[],4,0),"")</f>
        <v/>
      </c>
      <c r="G50" s="110" t="str">
        <f>IF(G22&lt;&gt;"",VLOOKUP(G22,Tb_ProjectKosten[],4,0),"")</f>
        <v/>
      </c>
      <c r="H50" s="110" t="str">
        <f>IF(H22&lt;&gt;"",VLOOKUP(H22,Tb_ProjectKosten[],4,0),"")</f>
        <v/>
      </c>
      <c r="I50" s="110" t="str">
        <f>IF(I22&lt;&gt;"",VLOOKUP(I22,Tb_ProjectKosten[],4,0),"")</f>
        <v/>
      </c>
    </row>
    <row r="51" spans="1:9" x14ac:dyDescent="0.25">
      <c r="A51" s="110"/>
      <c r="B51" s="110" t="str">
        <f ca="1">IF(B23&lt;&gt;"",VLOOKUP(B23,Tb_ProjectKosten[],4,0),"")</f>
        <v/>
      </c>
      <c r="C51" s="110" t="str">
        <f>IF(C23&lt;&gt;"",VLOOKUP(C23,Tb_ProjectKosten[],4,0),"")</f>
        <v/>
      </c>
      <c r="D51" s="110" t="str">
        <f>IF(D23&lt;&gt;"",VLOOKUP(D23,Tb_ProjectKosten[],4,0),"")</f>
        <v/>
      </c>
      <c r="E51" s="110" t="str">
        <f>IF(E23&lt;&gt;"",VLOOKUP(E23,Tb_ProjectKosten[],4,0),"")</f>
        <v/>
      </c>
      <c r="F51" s="110" t="str">
        <f>IF(F23&lt;&gt;"",VLOOKUP(F23,Tb_ProjectKosten[],4,0),"")</f>
        <v/>
      </c>
      <c r="G51" s="110" t="str">
        <f>IF(G23&lt;&gt;"",VLOOKUP(G23,Tb_ProjectKosten[],4,0),"")</f>
        <v/>
      </c>
      <c r="H51" s="110" t="str">
        <f>IF(H23&lt;&gt;"",VLOOKUP(H23,Tb_ProjectKosten[],4,0),"")</f>
        <v/>
      </c>
      <c r="I51" s="110" t="str">
        <f>IF(I23&lt;&gt;"",VLOOKUP(I23,Tb_ProjectKosten[],4,0),"")</f>
        <v/>
      </c>
    </row>
    <row r="52" spans="1:9" x14ac:dyDescent="0.25">
      <c r="A52" s="110"/>
      <c r="B52" s="110" t="str">
        <f ca="1">IF(B24&lt;&gt;"",VLOOKUP(B24,Tb_ProjectKosten[],4,0),"")</f>
        <v/>
      </c>
      <c r="C52" s="110" t="str">
        <f>IF(C24&lt;&gt;"",VLOOKUP(C24,Tb_ProjectKosten[],4,0),"")</f>
        <v/>
      </c>
      <c r="D52" s="110" t="str">
        <f>IF(D24&lt;&gt;"",VLOOKUP(D24,Tb_ProjectKosten[],4,0),"")</f>
        <v/>
      </c>
      <c r="E52" s="110" t="str">
        <f>IF(E24&lt;&gt;"",VLOOKUP(E24,Tb_ProjectKosten[],4,0),"")</f>
        <v/>
      </c>
      <c r="F52" s="110" t="str">
        <f>IF(F24&lt;&gt;"",VLOOKUP(F24,Tb_ProjectKosten[],4,0),"")</f>
        <v/>
      </c>
      <c r="G52" s="110" t="str">
        <f>IF(G24&lt;&gt;"",VLOOKUP(G24,Tb_ProjectKosten[],4,0),"")</f>
        <v/>
      </c>
      <c r="H52" s="110" t="str">
        <f>IF(H24&lt;&gt;"",VLOOKUP(H24,Tb_ProjectKosten[],4,0),"")</f>
        <v/>
      </c>
      <c r="I52" s="110" t="str">
        <f>IF(I24&lt;&gt;"",VLOOKUP(I24,Tb_ProjectKosten[],4,0),"")</f>
        <v/>
      </c>
    </row>
    <row r="53" spans="1:9" x14ac:dyDescent="0.25">
      <c r="A53" s="110"/>
      <c r="B53" s="110" t="str">
        <f ca="1">IF(B25&lt;&gt;"",VLOOKUP(B25,Tb_ProjectKosten[],4,0),"")</f>
        <v/>
      </c>
      <c r="C53" s="110" t="str">
        <f>IF(C25&lt;&gt;"",VLOOKUP(C25,Tb_ProjectKosten[],4,0),"")</f>
        <v/>
      </c>
      <c r="D53" s="110" t="str">
        <f>IF(D25&lt;&gt;"",VLOOKUP(D25,Tb_ProjectKosten[],4,0),"")</f>
        <v/>
      </c>
      <c r="E53" s="110" t="str">
        <f>IF(E25&lt;&gt;"",VLOOKUP(E25,Tb_ProjectKosten[],4,0),"")</f>
        <v/>
      </c>
      <c r="F53" s="110" t="str">
        <f>IF(F25&lt;&gt;"",VLOOKUP(F25,Tb_ProjectKosten[],4,0),"")</f>
        <v/>
      </c>
      <c r="G53" s="110" t="str">
        <f>IF(G25&lt;&gt;"",VLOOKUP(G25,Tb_ProjectKosten[],4,0),"")</f>
        <v/>
      </c>
      <c r="H53" s="110" t="str">
        <f>IF(H25&lt;&gt;"",VLOOKUP(H25,Tb_ProjectKosten[],4,0),"")</f>
        <v/>
      </c>
      <c r="I53" s="110" t="str">
        <f>IF(I25&lt;&gt;"",VLOOKUP(I25,Tb_ProjectKosten[],4,0),"")</f>
        <v/>
      </c>
    </row>
    <row r="54" spans="1:9" x14ac:dyDescent="0.25">
      <c r="A54" s="110"/>
      <c r="B54" s="110" t="str">
        <f ca="1">IF(B26&lt;&gt;"",VLOOKUP(B26,Tb_ProjectKosten[],4,0),"")</f>
        <v/>
      </c>
      <c r="C54" s="110" t="str">
        <f>IF(C26&lt;&gt;"",VLOOKUP(C26,Tb_ProjectKosten[],4,0),"")</f>
        <v/>
      </c>
      <c r="D54" s="110" t="str">
        <f>IF(D26&lt;&gt;"",VLOOKUP(D26,Tb_ProjectKosten[],4,0),"")</f>
        <v/>
      </c>
      <c r="E54" s="110" t="str">
        <f>IF(E26&lt;&gt;"",VLOOKUP(E26,Tb_ProjectKosten[],4,0),"")</f>
        <v/>
      </c>
      <c r="F54" s="110" t="str">
        <f>IF(F26&lt;&gt;"",VLOOKUP(F26,Tb_ProjectKosten[],4,0),"")</f>
        <v/>
      </c>
      <c r="G54" s="110" t="str">
        <f>IF(G26&lt;&gt;"",VLOOKUP(G26,Tb_ProjectKosten[],4,0),"")</f>
        <v/>
      </c>
      <c r="H54" s="110" t="str">
        <f>IF(H26&lt;&gt;"",VLOOKUP(H26,Tb_ProjectKosten[],4,0),"")</f>
        <v/>
      </c>
      <c r="I54" s="110" t="str">
        <f>IF(I26&lt;&gt;"",VLOOKUP(I26,Tb_ProjectKosten[],4,0),"")</f>
        <v/>
      </c>
    </row>
    <row r="55" spans="1:9" x14ac:dyDescent="0.25">
      <c r="A55" s="110"/>
      <c r="B55" s="110" t="str">
        <f ca="1">IF(B27&lt;&gt;"",VLOOKUP(B27,Tb_ProjectKosten[],4,0),"")</f>
        <v/>
      </c>
      <c r="C55" s="110" t="str">
        <f>IF(C27&lt;&gt;"",VLOOKUP(C27,Tb_ProjectKosten[],4,0),"")</f>
        <v/>
      </c>
      <c r="D55" s="110" t="str">
        <f>IF(D27&lt;&gt;"",VLOOKUP(D27,Tb_ProjectKosten[],4,0),"")</f>
        <v/>
      </c>
      <c r="E55" s="110" t="str">
        <f>IF(E27&lt;&gt;"",VLOOKUP(E27,Tb_ProjectKosten[],4,0),"")</f>
        <v/>
      </c>
      <c r="F55" s="110" t="str">
        <f>IF(F27&lt;&gt;"",VLOOKUP(F27,Tb_ProjectKosten[],4,0),"")</f>
        <v/>
      </c>
      <c r="G55" s="110" t="str">
        <f>IF(G27&lt;&gt;"",VLOOKUP(G27,Tb_ProjectKosten[],4,0),"")</f>
        <v/>
      </c>
      <c r="H55" s="110" t="str">
        <f>IF(H27&lt;&gt;"",VLOOKUP(H27,Tb_ProjectKosten[],4,0),"")</f>
        <v/>
      </c>
      <c r="I55" s="110" t="str">
        <f>IF(I27&lt;&gt;"",VLOOKUP(I27,Tb_ProjectKosten[],4,0),"")</f>
        <v/>
      </c>
    </row>
    <row r="56" spans="1:9" x14ac:dyDescent="0.25">
      <c r="A56" s="110"/>
      <c r="B56" s="110" t="str">
        <f ca="1">IF(B28&lt;&gt;"",VLOOKUP(B28,Tb_ProjectKosten[],4,0),"")</f>
        <v/>
      </c>
      <c r="C56" s="110" t="str">
        <f>IF(C28&lt;&gt;"",VLOOKUP(C28,Tb_ProjectKosten[],4,0),"")</f>
        <v/>
      </c>
      <c r="D56" s="110" t="str">
        <f>IF(D28&lt;&gt;"",VLOOKUP(D28,Tb_ProjectKosten[],4,0),"")</f>
        <v/>
      </c>
      <c r="E56" s="110" t="str">
        <f>IF(E28&lt;&gt;"",VLOOKUP(E28,Tb_ProjectKosten[],4,0),"")</f>
        <v/>
      </c>
      <c r="F56" s="110" t="str">
        <f>IF(F28&lt;&gt;"",VLOOKUP(F28,Tb_ProjectKosten[],4,0),"")</f>
        <v/>
      </c>
      <c r="G56" s="110" t="str">
        <f>IF(G28&lt;&gt;"",VLOOKUP(G28,Tb_ProjectKosten[],4,0),"")</f>
        <v/>
      </c>
      <c r="H56" s="110" t="str">
        <f>IF(H28&lt;&gt;"",VLOOKUP(H28,Tb_ProjectKosten[],4,0),"")</f>
        <v/>
      </c>
      <c r="I56" s="110" t="str">
        <f>IF(I28&lt;&gt;"",VLOOKUP(I28,Tb_ProjectKosten[],4,0),"")</f>
        <v/>
      </c>
    </row>
    <row r="57" spans="1:9" x14ac:dyDescent="0.25">
      <c r="A57" s="110"/>
      <c r="B57" s="110" t="str">
        <f ca="1">IF(B29&lt;&gt;"",VLOOKUP(B29,Tb_ProjectKosten[],4,0),"")</f>
        <v/>
      </c>
      <c r="C57" s="110" t="str">
        <f>IF(C29&lt;&gt;"",VLOOKUP(C29,Tb_ProjectKosten[],4,0),"")</f>
        <v/>
      </c>
      <c r="D57" s="110" t="str">
        <f>IF(D29&lt;&gt;"",VLOOKUP(D29,Tb_ProjectKosten[],4,0),"")</f>
        <v/>
      </c>
      <c r="E57" s="110" t="str">
        <f>IF(E29&lt;&gt;"",VLOOKUP(E29,Tb_ProjectKosten[],4,0),"")</f>
        <v/>
      </c>
      <c r="F57" s="110" t="str">
        <f>IF(F29&lt;&gt;"",VLOOKUP(F29,Tb_ProjectKosten[],4,0),"")</f>
        <v/>
      </c>
      <c r="G57" s="110" t="str">
        <f>IF(G29&lt;&gt;"",VLOOKUP(G29,Tb_ProjectKosten[],4,0),"")</f>
        <v/>
      </c>
      <c r="H57" s="110" t="str">
        <f>IF(H29&lt;&gt;"",VLOOKUP(H29,Tb_ProjectKosten[],4,0),"")</f>
        <v/>
      </c>
      <c r="I57" s="110" t="str">
        <f>IF(I29&lt;&gt;"",VLOOKUP(I29,Tb_ProjectKosten[],4,0),"")</f>
        <v/>
      </c>
    </row>
    <row r="58" spans="1:9" x14ac:dyDescent="0.25">
      <c r="A58" s="110"/>
      <c r="B58" s="110" t="str">
        <f ca="1">IF(B30&lt;&gt;"",VLOOKUP(B30,Tb_ProjectKosten[],4,0),"")</f>
        <v/>
      </c>
      <c r="C58" s="110" t="str">
        <f>IF(C30&lt;&gt;"",VLOOKUP(C30,Tb_ProjectKosten[],4,0),"")</f>
        <v/>
      </c>
      <c r="D58" s="110" t="str">
        <f>IF(D30&lt;&gt;"",VLOOKUP(D30,Tb_ProjectKosten[],4,0),"")</f>
        <v/>
      </c>
      <c r="E58" s="110" t="str">
        <f>IF(E30&lt;&gt;"",VLOOKUP(E30,Tb_ProjectKosten[],4,0),"")</f>
        <v/>
      </c>
      <c r="F58" s="110" t="str">
        <f>IF(F30&lt;&gt;"",VLOOKUP(F30,Tb_ProjectKosten[],4,0),"")</f>
        <v/>
      </c>
      <c r="G58" s="110" t="str">
        <f>IF(G30&lt;&gt;"",VLOOKUP(G30,Tb_ProjectKosten[],4,0),"")</f>
        <v/>
      </c>
      <c r="H58" s="110" t="str">
        <f>IF(H30&lt;&gt;"",VLOOKUP(H30,Tb_ProjectKosten[],4,0),"")</f>
        <v/>
      </c>
      <c r="I58" s="110" t="str">
        <f>IF(I30&lt;&gt;"",VLOOKUP(I30,Tb_ProjectKosten[],4,0),"")</f>
        <v/>
      </c>
    </row>
    <row r="59" spans="1:9" x14ac:dyDescent="0.25">
      <c r="A59" s="110"/>
      <c r="B59" s="110" t="str">
        <f ca="1">IF(B31&lt;&gt;"",VLOOKUP(B31,Tb_ProjectKosten[],4,0),"")</f>
        <v/>
      </c>
      <c r="C59" s="110" t="str">
        <f>IF(C31&lt;&gt;"",VLOOKUP(C31,Tb_ProjectKosten[],4,0),"")</f>
        <v/>
      </c>
      <c r="D59" s="110" t="str">
        <f>IF(D31&lt;&gt;"",VLOOKUP(D31,Tb_ProjectKosten[],4,0),"")</f>
        <v/>
      </c>
      <c r="E59" s="110" t="str">
        <f>IF(E31&lt;&gt;"",VLOOKUP(E31,Tb_ProjectKosten[],4,0),"")</f>
        <v/>
      </c>
      <c r="F59" s="110" t="str">
        <f>IF(F31&lt;&gt;"",VLOOKUP(F31,Tb_ProjectKosten[],4,0),"")</f>
        <v/>
      </c>
      <c r="G59" s="110" t="str">
        <f>IF(G31&lt;&gt;"",VLOOKUP(G31,Tb_ProjectKosten[],4,0),"")</f>
        <v/>
      </c>
      <c r="H59" s="110" t="str">
        <f>IF(H31&lt;&gt;"",VLOOKUP(H31,Tb_ProjectKosten[],4,0),"")</f>
        <v/>
      </c>
      <c r="I59" s="110" t="str">
        <f>IF(I31&lt;&gt;"",VLOOKUP(I31,Tb_ProjectKosten[],4,0),"")</f>
        <v/>
      </c>
    </row>
    <row r="61" spans="1:9" x14ac:dyDescent="0.25">
      <c r="A61" s="75" t="s">
        <v>133</v>
      </c>
      <c r="B61" s="75" t="s">
        <v>220</v>
      </c>
      <c r="C61" s="75" t="s">
        <v>221</v>
      </c>
      <c r="D61" s="75" t="s">
        <v>222</v>
      </c>
      <c r="E61" s="75" t="s">
        <v>223</v>
      </c>
      <c r="F61" s="75" t="s">
        <v>224</v>
      </c>
      <c r="G61" s="75" t="s">
        <v>312</v>
      </c>
    </row>
    <row r="62" spans="1:9" x14ac:dyDescent="0.25">
      <c r="A62" s="110" cm="1">
        <f t="array" aca="1" ref="A62" ca="1">OFFSET(Lijsten!$AC$1,1,1,IF(COUNTIF(Lijsten!$AC$1:$AC$100,"&lt;&gt;"&amp;"")&gt;1,COUNTIF(Lijsten!$AC$1:$AC$100,"&lt;&gt;"&amp;"")-1,COUNTIF(Lijsten!$AC$1:$AC$100,"&lt;&gt;"&amp;"")))</f>
        <v>0</v>
      </c>
      <c r="B62" s="110" t="str" cm="1">
        <f t="array" aca="1" ref="B62" ca="1">IFERROR(_xlfn._xlws.FILTER(OFFSET(Lijsten!$AT:$AY,MATCH(A62,Lijsten!AD:AD,0)-1,,1),OFFSET(Lijsten!$AT:$AY,MATCH(A62,Lijsten!AD:AD,0)-1,,1)&lt;&gt;""),"")</f>
        <v/>
      </c>
      <c r="C62" s="110"/>
      <c r="D62" s="110"/>
      <c r="E62" s="110"/>
      <c r="F62" s="110"/>
      <c r="G62" s="110"/>
    </row>
    <row r="63" spans="1:9" x14ac:dyDescent="0.25">
      <c r="A63" s="110"/>
      <c r="B63" s="110" t="str" cm="1">
        <f t="array" aca="1" ref="B63" ca="1">IFERROR(_xlfn._xlws.FILTER(OFFSET(Lijsten!$AT:$AY,MATCH(A63,Lijsten!AD:AD,0)-1,,1),OFFSET(Lijsten!$AT:$AY,MATCH(A63,Lijsten!AD:AD,0)-1,,1)&lt;&gt;""),"")</f>
        <v/>
      </c>
      <c r="C63" s="110"/>
      <c r="D63" s="110"/>
      <c r="E63" s="110"/>
      <c r="F63" s="110"/>
      <c r="G63" s="110"/>
    </row>
    <row r="64" spans="1:9" x14ac:dyDescent="0.25">
      <c r="A64" s="110"/>
      <c r="B64" s="110" t="str" cm="1">
        <f t="array" aca="1" ref="B64" ca="1">IFERROR(_xlfn._xlws.FILTER(OFFSET(Lijsten!$AT:$AY,MATCH(A64,Lijsten!AD:AD,0)-1,,1),OFFSET(Lijsten!$AT:$AY,MATCH(A64,Lijsten!AD:AD,0)-1,,1)&lt;&gt;""),"")</f>
        <v/>
      </c>
      <c r="C64" s="110"/>
      <c r="D64" s="110"/>
      <c r="E64" s="110"/>
      <c r="F64" s="110"/>
      <c r="G64" s="110"/>
    </row>
    <row r="65" spans="1:7" x14ac:dyDescent="0.25">
      <c r="A65" s="110"/>
      <c r="B65" s="110" t="str" cm="1">
        <f t="array" aca="1" ref="B65" ca="1">IFERROR(_xlfn._xlws.FILTER(OFFSET(Lijsten!$AT:$AY,MATCH(A65,Lijsten!AD:AD,0)-1,,1),OFFSET(Lijsten!$AT:$AY,MATCH(A65,Lijsten!AD:AD,0)-1,,1)&lt;&gt;""),"")</f>
        <v/>
      </c>
      <c r="C65" s="110"/>
      <c r="D65" s="110"/>
      <c r="E65" s="110"/>
      <c r="F65" s="110"/>
      <c r="G65" s="110"/>
    </row>
    <row r="66" spans="1:7" x14ac:dyDescent="0.25">
      <c r="A66" s="110"/>
      <c r="B66" s="110" t="str" cm="1">
        <f t="array" aca="1" ref="B66" ca="1">IFERROR(_xlfn._xlws.FILTER(OFFSET(Lijsten!$AT:$AY,MATCH(A66,Lijsten!AD:AD,0)-1,,1),OFFSET(Lijsten!$AT:$AY,MATCH(A66,Lijsten!AD:AD,0)-1,,1)&lt;&gt;""),"")</f>
        <v/>
      </c>
      <c r="C66" s="110"/>
      <c r="D66" s="110"/>
      <c r="E66" s="110"/>
      <c r="F66" s="110"/>
      <c r="G66" s="110"/>
    </row>
    <row r="67" spans="1:7" x14ac:dyDescent="0.25">
      <c r="A67" s="110"/>
      <c r="B67" s="110" t="str" cm="1">
        <f t="array" aca="1" ref="B67" ca="1">IFERROR(_xlfn._xlws.FILTER(OFFSET(Lijsten!$AT:$AY,MATCH(A67,Lijsten!AD:AD,0)-1,,1),OFFSET(Lijsten!$AT:$AY,MATCH(A67,Lijsten!AD:AD,0)-1,,1)&lt;&gt;""),"")</f>
        <v/>
      </c>
      <c r="C67" s="110"/>
      <c r="D67" s="110"/>
      <c r="E67" s="110"/>
      <c r="F67" s="110"/>
      <c r="G67" s="110"/>
    </row>
    <row r="68" spans="1:7" x14ac:dyDescent="0.25">
      <c r="A68" s="110"/>
      <c r="B68" s="110" t="str" cm="1">
        <f t="array" aca="1" ref="B68" ca="1">IFERROR(_xlfn._xlws.FILTER(OFFSET(Lijsten!$AT:$AY,MATCH(A68,Lijsten!AD:AD,0)-1,,1),OFFSET(Lijsten!$AT:$AY,MATCH(A68,Lijsten!AD:AD,0)-1,,1)&lt;&gt;""),"")</f>
        <v/>
      </c>
      <c r="C68" s="110"/>
      <c r="D68" s="110"/>
      <c r="E68" s="110"/>
      <c r="F68" s="110"/>
      <c r="G68" s="110"/>
    </row>
    <row r="69" spans="1:7" x14ac:dyDescent="0.25">
      <c r="A69" s="110"/>
      <c r="B69" s="110" t="str" cm="1">
        <f t="array" aca="1" ref="B69" ca="1">IFERROR(_xlfn._xlws.FILTER(OFFSET(Lijsten!$AT:$AY,MATCH(A69,Lijsten!AD:AD,0)-1,,1),OFFSET(Lijsten!$AT:$AY,MATCH(A69,Lijsten!AD:AD,0)-1,,1)&lt;&gt;""),"")</f>
        <v/>
      </c>
      <c r="C69" s="110"/>
      <c r="D69" s="110"/>
      <c r="E69" s="110"/>
      <c r="F69" s="110"/>
      <c r="G69" s="110"/>
    </row>
    <row r="70" spans="1:7" x14ac:dyDescent="0.25">
      <c r="A70" s="110"/>
      <c r="B70" s="110" t="str" cm="1">
        <f t="array" aca="1" ref="B70" ca="1">IFERROR(_xlfn._xlws.FILTER(OFFSET(Lijsten!$AT:$AY,MATCH(A70,Lijsten!AD:AD,0)-1,,1),OFFSET(Lijsten!$AT:$AY,MATCH(A70,Lijsten!AD:AD,0)-1,,1)&lt;&gt;""),"")</f>
        <v/>
      </c>
      <c r="C70" s="110"/>
      <c r="D70" s="110"/>
      <c r="E70" s="110"/>
      <c r="F70" s="110"/>
      <c r="G70" s="110"/>
    </row>
    <row r="71" spans="1:7" x14ac:dyDescent="0.25">
      <c r="A71" s="110"/>
      <c r="B71" s="110" t="str" cm="1">
        <f t="array" aca="1" ref="B71" ca="1">IFERROR(_xlfn._xlws.FILTER(OFFSET(Lijsten!$AT:$AY,MATCH(A71,Lijsten!AD:AD,0)-1,,1),OFFSET(Lijsten!$AT:$AY,MATCH(A71,Lijsten!AD:AD,0)-1,,1)&lt;&gt;""),"")</f>
        <v/>
      </c>
      <c r="C71" s="110"/>
      <c r="D71" s="110"/>
      <c r="E71" s="110"/>
      <c r="F71" s="110"/>
      <c r="G71" s="110"/>
    </row>
    <row r="72" spans="1:7" x14ac:dyDescent="0.25">
      <c r="A72" s="110"/>
      <c r="B72" s="110" t="str" cm="1">
        <f t="array" aca="1" ref="B72" ca="1">IFERROR(_xlfn._xlws.FILTER(OFFSET(Lijsten!$AT:$AY,MATCH(A72,Lijsten!AD:AD,0)-1,,1),OFFSET(Lijsten!$AT:$AY,MATCH(A72,Lijsten!AD:AD,0)-1,,1)&lt;&gt;""),"")</f>
        <v/>
      </c>
      <c r="C72" s="110"/>
      <c r="D72" s="110"/>
      <c r="E72" s="110"/>
      <c r="F72" s="110"/>
      <c r="G72" s="110"/>
    </row>
    <row r="73" spans="1:7" x14ac:dyDescent="0.25">
      <c r="A73" s="110"/>
      <c r="B73" s="110" t="str" cm="1">
        <f t="array" aca="1" ref="B73" ca="1">IFERROR(_xlfn._xlws.FILTER(OFFSET(Lijsten!$AT:$AY,MATCH(A73,Lijsten!AD:AD,0)-1,,1),OFFSET(Lijsten!$AT:$AY,MATCH(A73,Lijsten!AD:AD,0)-1,,1)&lt;&gt;""),"")</f>
        <v/>
      </c>
      <c r="C73" s="110"/>
      <c r="D73" s="110"/>
      <c r="E73" s="110"/>
      <c r="F73" s="110"/>
      <c r="G73" s="110"/>
    </row>
    <row r="75" spans="1:7" x14ac:dyDescent="0.25">
      <c r="A75" s="75" t="s">
        <v>208</v>
      </c>
      <c r="B75" s="75" t="s">
        <v>220</v>
      </c>
      <c r="C75" s="75" t="s">
        <v>221</v>
      </c>
      <c r="D75" s="75" t="s">
        <v>222</v>
      </c>
      <c r="E75" s="75" t="s">
        <v>223</v>
      </c>
      <c r="F75" s="75" t="s">
        <v>224</v>
      </c>
      <c r="G75" s="75" t="s">
        <v>312</v>
      </c>
    </row>
    <row r="76" spans="1:7" x14ac:dyDescent="0.25">
      <c r="A76" s="110" cm="1">
        <f t="array" aca="1" ref="A76" ca="1">OFFSET(Lijsten!$AC$1,1,1,IF(COUNTIF(Lijsten!$AC$1:$AC$100,"&lt;&gt;"&amp;"")&gt;1,COUNTIF(Lijsten!$AC$1:$AC$100,"&lt;&gt;"&amp;"")-1,COUNTIF(Lijsten!$AC$1:$AC$100,"&lt;&gt;"&amp;"")))</f>
        <v>0</v>
      </c>
      <c r="B76" s="110" t="str" cm="1">
        <f t="array" aca="1" ref="B76" ca="1">TRANSPOSE(_xlfn.UNIQUE(TRANSPOSE(B90:G90)))</f>
        <v/>
      </c>
      <c r="C76" s="110"/>
      <c r="D76" s="110"/>
      <c r="E76" s="110"/>
      <c r="F76" s="110"/>
      <c r="G76" s="110"/>
    </row>
    <row r="77" spans="1:7" x14ac:dyDescent="0.25">
      <c r="A77" s="110"/>
      <c r="B77" s="110" t="str" cm="1">
        <f t="array" aca="1" ref="B77" ca="1">TRANSPOSE(_xlfn.UNIQUE(TRANSPOSE(B91:G91)))</f>
        <v/>
      </c>
      <c r="C77" s="110"/>
      <c r="D77" s="110"/>
      <c r="E77" s="110"/>
      <c r="F77" s="110"/>
      <c r="G77" s="110"/>
    </row>
    <row r="78" spans="1:7" x14ac:dyDescent="0.25">
      <c r="A78" s="110"/>
      <c r="B78" s="110" t="str" cm="1">
        <f t="array" aca="1" ref="B78" ca="1">TRANSPOSE(_xlfn.UNIQUE(TRANSPOSE(B92:G92)))</f>
        <v/>
      </c>
      <c r="C78" s="110"/>
      <c r="D78" s="110"/>
      <c r="E78" s="110"/>
      <c r="F78" s="110"/>
      <c r="G78" s="110"/>
    </row>
    <row r="79" spans="1:7" x14ac:dyDescent="0.25">
      <c r="A79" s="110"/>
      <c r="B79" s="110" t="str" cm="1">
        <f t="array" aca="1" ref="B79" ca="1">TRANSPOSE(_xlfn.UNIQUE(TRANSPOSE(B93:G93)))</f>
        <v/>
      </c>
      <c r="C79" s="110"/>
      <c r="D79" s="110"/>
      <c r="E79" s="110"/>
      <c r="F79" s="110"/>
      <c r="G79" s="110"/>
    </row>
    <row r="80" spans="1:7" x14ac:dyDescent="0.25">
      <c r="A80" s="110"/>
      <c r="B80" s="110" t="str" cm="1">
        <f t="array" aca="1" ref="B80" ca="1">TRANSPOSE(_xlfn.UNIQUE(TRANSPOSE(B94:G94)))</f>
        <v/>
      </c>
      <c r="C80" s="110"/>
      <c r="D80" s="110"/>
      <c r="E80" s="110"/>
      <c r="F80" s="110"/>
      <c r="G80" s="110"/>
    </row>
    <row r="81" spans="1:7" x14ac:dyDescent="0.25">
      <c r="A81" s="110"/>
      <c r="B81" s="110" t="str" cm="1">
        <f t="array" aca="1" ref="B81" ca="1">TRANSPOSE(_xlfn.UNIQUE(TRANSPOSE(B95:G95)))</f>
        <v/>
      </c>
      <c r="C81" s="110"/>
      <c r="D81" s="110"/>
      <c r="E81" s="110"/>
      <c r="F81" s="110"/>
      <c r="G81" s="110"/>
    </row>
    <row r="82" spans="1:7" x14ac:dyDescent="0.25">
      <c r="A82" s="110"/>
      <c r="B82" s="110" t="str" cm="1">
        <f t="array" aca="1" ref="B82" ca="1">TRANSPOSE(_xlfn.UNIQUE(TRANSPOSE(B96:G96)))</f>
        <v/>
      </c>
      <c r="C82" s="110"/>
      <c r="D82" s="110"/>
      <c r="E82" s="110"/>
      <c r="F82" s="110"/>
      <c r="G82" s="110"/>
    </row>
    <row r="83" spans="1:7" x14ac:dyDescent="0.25">
      <c r="A83" s="110"/>
      <c r="B83" s="110" t="str" cm="1">
        <f t="array" aca="1" ref="B83" ca="1">TRANSPOSE(_xlfn.UNIQUE(TRANSPOSE(B97:G97)))</f>
        <v/>
      </c>
      <c r="C83" s="110"/>
      <c r="D83" s="110"/>
      <c r="E83" s="110"/>
      <c r="F83" s="110"/>
      <c r="G83" s="110"/>
    </row>
    <row r="84" spans="1:7" x14ac:dyDescent="0.25">
      <c r="A84" s="110"/>
      <c r="B84" s="110" t="str" cm="1">
        <f t="array" aca="1" ref="B84" ca="1">TRANSPOSE(_xlfn.UNIQUE(TRANSPOSE(B98:G98)))</f>
        <v/>
      </c>
      <c r="C84" s="110"/>
      <c r="D84" s="110"/>
      <c r="E84" s="110"/>
      <c r="F84" s="110"/>
      <c r="G84" s="110"/>
    </row>
    <row r="85" spans="1:7" x14ac:dyDescent="0.25">
      <c r="A85" s="110"/>
      <c r="B85" s="110" t="str" cm="1">
        <f t="array" aca="1" ref="B85" ca="1">TRANSPOSE(_xlfn.UNIQUE(TRANSPOSE(B99:G99)))</f>
        <v/>
      </c>
      <c r="C85" s="110"/>
      <c r="D85" s="110"/>
      <c r="E85" s="110"/>
      <c r="F85" s="110"/>
      <c r="G85" s="110"/>
    </row>
    <row r="86" spans="1:7" x14ac:dyDescent="0.25">
      <c r="A86" s="110"/>
      <c r="B86" s="110" t="str" cm="1">
        <f t="array" aca="1" ref="B86" ca="1">TRANSPOSE(_xlfn.UNIQUE(TRANSPOSE(B100:G100)))</f>
        <v/>
      </c>
      <c r="C86" s="110"/>
      <c r="D86" s="110"/>
      <c r="E86" s="110"/>
      <c r="F86" s="110"/>
      <c r="G86" s="110"/>
    </row>
    <row r="87" spans="1:7" x14ac:dyDescent="0.25">
      <c r="A87" s="110"/>
      <c r="B87" s="110" t="str" cm="1">
        <f t="array" aca="1" ref="B87" ca="1">TRANSPOSE(_xlfn.UNIQUE(TRANSPOSE(B101:G101)))</f>
        <v/>
      </c>
      <c r="C87" s="110"/>
      <c r="D87" s="110"/>
      <c r="E87" s="110"/>
      <c r="F87" s="110"/>
      <c r="G87" s="110"/>
    </row>
    <row r="89" spans="1:7" x14ac:dyDescent="0.25">
      <c r="A89" s="75" t="s">
        <v>209</v>
      </c>
      <c r="B89" s="75" t="s">
        <v>220</v>
      </c>
      <c r="C89" s="75" t="s">
        <v>221</v>
      </c>
      <c r="D89" s="75" t="s">
        <v>222</v>
      </c>
      <c r="E89" s="75" t="s">
        <v>223</v>
      </c>
      <c r="F89" s="75" t="s">
        <v>224</v>
      </c>
      <c r="G89" s="75" t="s">
        <v>312</v>
      </c>
    </row>
    <row r="90" spans="1:7" x14ac:dyDescent="0.25">
      <c r="A90" s="110" cm="1">
        <f t="array" aca="1" ref="A90" ca="1">OFFSET(Lijsten!$AC$1,1,1,IF(COUNTIF(Lijsten!$AC$1:$AC$100,"&lt;&gt;"&amp;"")&gt;1,COUNTIF(Lijsten!$AC$1:$AC$100,"&lt;&gt;"&amp;"")-1,COUNTIF(Lijsten!$AC$1:$AC$100,"&lt;&gt;"&amp;"")))</f>
        <v>0</v>
      </c>
      <c r="B90" s="110" t="str">
        <f ca="1">IF(AND(B62&lt;&gt;"",B62&lt;&gt;0),VLOOKUP(B62,Tb_KostenTypen[#All],1,0),"")</f>
        <v/>
      </c>
      <c r="C90" s="110" t="str">
        <f>IF(AND(C62&lt;&gt;"",C62&lt;&gt;0),VLOOKUP(C62,Tb_KostenTypen[#All],1,0),"")</f>
        <v/>
      </c>
      <c r="D90" s="110" t="str">
        <f>IF(AND(D62&lt;&gt;"",D62&lt;&gt;0),VLOOKUP(D62,Tb_KostenTypen[#All],1,0),"")</f>
        <v/>
      </c>
      <c r="E90" s="110" t="str">
        <f>IF(AND(E62&lt;&gt;"",E62&lt;&gt;0),VLOOKUP(E62,Tb_KostenTypen[#All],1,0),"")</f>
        <v/>
      </c>
      <c r="F90" s="110" t="str">
        <f>IF(AND(F62&lt;&gt;"",F62&lt;&gt;0),VLOOKUP(F62,Tb_KostenTypen[#All],1,0),"")</f>
        <v/>
      </c>
      <c r="G90" s="110" t="str">
        <f>IF(AND(G62&lt;&gt;"",G62&lt;&gt;0),VLOOKUP(G62,Tb_KostenTypen[#All],1,0),"")</f>
        <v/>
      </c>
    </row>
    <row r="91" spans="1:7" x14ac:dyDescent="0.25">
      <c r="A91" s="110"/>
      <c r="B91" s="110" t="str">
        <f ca="1">IF(AND(B63&lt;&gt;"",B63&lt;&gt;0),VLOOKUP(B63,Tb_KostenTypen[#All],1,0),"")</f>
        <v/>
      </c>
      <c r="C91" s="110" t="str">
        <f>IF(AND(C63&lt;&gt;"",C63&lt;&gt;0),VLOOKUP(C63,Tb_KostenTypen[#All],1,0),"")</f>
        <v/>
      </c>
      <c r="D91" s="110" t="str">
        <f>IF(AND(D63&lt;&gt;"",D63&lt;&gt;0),VLOOKUP(D63,Tb_KostenTypen[#All],1,0),"")</f>
        <v/>
      </c>
      <c r="E91" s="110" t="str">
        <f>IF(AND(E63&lt;&gt;"",E63&lt;&gt;0),VLOOKUP(E63,Tb_KostenTypen[#All],1,0),"")</f>
        <v/>
      </c>
      <c r="F91" s="110" t="str">
        <f>IF(AND(F63&lt;&gt;"",F63&lt;&gt;0),VLOOKUP(F63,Tb_KostenTypen[#All],1,0),"")</f>
        <v/>
      </c>
      <c r="G91" s="110" t="str">
        <f>IF(AND(G63&lt;&gt;"",G63&lt;&gt;0),VLOOKUP(G63,Tb_KostenTypen[#All],1,0),"")</f>
        <v/>
      </c>
    </row>
    <row r="92" spans="1:7" x14ac:dyDescent="0.25">
      <c r="A92" s="110"/>
      <c r="B92" s="110" t="str">
        <f ca="1">IF(AND(B64&lt;&gt;"",B64&lt;&gt;0),VLOOKUP(B64,Tb_KostenTypen[#All],1,0),"")</f>
        <v/>
      </c>
      <c r="C92" s="110" t="str">
        <f>IF(AND(C64&lt;&gt;"",C64&lt;&gt;0),VLOOKUP(C64,Tb_KostenTypen[#All],1,0),"")</f>
        <v/>
      </c>
      <c r="D92" s="110" t="str">
        <f>IF(AND(D64&lt;&gt;"",D64&lt;&gt;0),VLOOKUP(D64,Tb_KostenTypen[#All],1,0),"")</f>
        <v/>
      </c>
      <c r="E92" s="110" t="str">
        <f>IF(AND(E64&lt;&gt;"",E64&lt;&gt;0),VLOOKUP(E64,Tb_KostenTypen[#All],1,0),"")</f>
        <v/>
      </c>
      <c r="F92" s="110" t="str">
        <f>IF(AND(F64&lt;&gt;"",F64&lt;&gt;0),VLOOKUP(F64,Tb_KostenTypen[#All],1,0),"")</f>
        <v/>
      </c>
      <c r="G92" s="110" t="str">
        <f>IF(AND(G64&lt;&gt;"",G64&lt;&gt;0),VLOOKUP(G64,Tb_KostenTypen[#All],1,0),"")</f>
        <v/>
      </c>
    </row>
    <row r="93" spans="1:7" x14ac:dyDescent="0.25">
      <c r="A93" s="110"/>
      <c r="B93" s="110" t="str">
        <f ca="1">IF(AND(B65&lt;&gt;"",B65&lt;&gt;0),VLOOKUP(B65,Tb_KostenTypen[#All],1,0),"")</f>
        <v/>
      </c>
      <c r="C93" s="110" t="str">
        <f>IF(AND(C65&lt;&gt;"",C65&lt;&gt;0),VLOOKUP(C65,Tb_KostenTypen[#All],1,0),"")</f>
        <v/>
      </c>
      <c r="D93" s="110" t="str">
        <f>IF(AND(D65&lt;&gt;"",D65&lt;&gt;0),VLOOKUP(D65,Tb_KostenTypen[#All],1,0),"")</f>
        <v/>
      </c>
      <c r="E93" s="110" t="str">
        <f>IF(AND(E65&lt;&gt;"",E65&lt;&gt;0),VLOOKUP(E65,Tb_KostenTypen[#All],1,0),"")</f>
        <v/>
      </c>
      <c r="F93" s="110" t="str">
        <f>IF(AND(F65&lt;&gt;"",F65&lt;&gt;0),VLOOKUP(F65,Tb_KostenTypen[#All],1,0),"")</f>
        <v/>
      </c>
      <c r="G93" s="110" t="str">
        <f>IF(AND(G65&lt;&gt;"",G65&lt;&gt;0),VLOOKUP(G65,Tb_KostenTypen[#All],1,0),"")</f>
        <v/>
      </c>
    </row>
    <row r="94" spans="1:7" x14ac:dyDescent="0.25">
      <c r="A94" s="110"/>
      <c r="B94" s="110" t="str">
        <f ca="1">IF(AND(B66&lt;&gt;"",B66&lt;&gt;0),VLOOKUP(B66,Tb_KostenTypen[#All],1,0),"")</f>
        <v/>
      </c>
      <c r="C94" s="110" t="str">
        <f>IF(AND(C66&lt;&gt;"",C66&lt;&gt;0),VLOOKUP(C66,Tb_KostenTypen[#All],1,0),"")</f>
        <v/>
      </c>
      <c r="D94" s="110" t="str">
        <f>IF(AND(D66&lt;&gt;"",D66&lt;&gt;0),VLOOKUP(D66,Tb_KostenTypen[#All],1,0),"")</f>
        <v/>
      </c>
      <c r="E94" s="110" t="str">
        <f>IF(AND(E66&lt;&gt;"",E66&lt;&gt;0),VLOOKUP(E66,Tb_KostenTypen[#All],1,0),"")</f>
        <v/>
      </c>
      <c r="F94" s="110" t="str">
        <f>IF(AND(F66&lt;&gt;"",F66&lt;&gt;0),VLOOKUP(F66,Tb_KostenTypen[#All],1,0),"")</f>
        <v/>
      </c>
      <c r="G94" s="110" t="str">
        <f>IF(AND(G66&lt;&gt;"",G66&lt;&gt;0),VLOOKUP(G66,Tb_KostenTypen[#All],1,0),"")</f>
        <v/>
      </c>
    </row>
    <row r="95" spans="1:7" x14ac:dyDescent="0.25">
      <c r="A95" s="110"/>
      <c r="B95" s="110" t="str">
        <f ca="1">IF(AND(B67&lt;&gt;"",B67&lt;&gt;0),VLOOKUP(B67,Tb_KostenTypen[#All],1,0),"")</f>
        <v/>
      </c>
      <c r="C95" s="110" t="str">
        <f>IF(AND(C67&lt;&gt;"",C67&lt;&gt;0),VLOOKUP(C67,Tb_KostenTypen[#All],1,0),"")</f>
        <v/>
      </c>
      <c r="D95" s="110" t="str">
        <f>IF(AND(D67&lt;&gt;"",D67&lt;&gt;0),VLOOKUP(D67,Tb_KostenTypen[#All],1,0),"")</f>
        <v/>
      </c>
      <c r="E95" s="110" t="str">
        <f>IF(AND(E67&lt;&gt;"",E67&lt;&gt;0),VLOOKUP(E67,Tb_KostenTypen[#All],1,0),"")</f>
        <v/>
      </c>
      <c r="F95" s="110" t="str">
        <f>IF(AND(F67&lt;&gt;"",F67&lt;&gt;0),VLOOKUP(F67,Tb_KostenTypen[#All],1,0),"")</f>
        <v/>
      </c>
      <c r="G95" s="110" t="str">
        <f>IF(AND(G67&lt;&gt;"",G67&lt;&gt;0),VLOOKUP(G67,Tb_KostenTypen[#All],1,0),"")</f>
        <v/>
      </c>
    </row>
    <row r="96" spans="1:7" x14ac:dyDescent="0.25">
      <c r="A96" s="110"/>
      <c r="B96" s="110" t="str">
        <f ca="1">IF(AND(B68&lt;&gt;"",B68&lt;&gt;0),VLOOKUP(B68,Tb_KostenTypen[#All],1,0),"")</f>
        <v/>
      </c>
      <c r="C96" s="110" t="str">
        <f>IF(AND(C68&lt;&gt;"",C68&lt;&gt;0),VLOOKUP(C68,Tb_KostenTypen[#All],1,0),"")</f>
        <v/>
      </c>
      <c r="D96" s="110" t="str">
        <f>IF(AND(D68&lt;&gt;"",D68&lt;&gt;0),VLOOKUP(D68,Tb_KostenTypen[#All],1,0),"")</f>
        <v/>
      </c>
      <c r="E96" s="110" t="str">
        <f>IF(AND(E68&lt;&gt;"",E68&lt;&gt;0),VLOOKUP(E68,Tb_KostenTypen[#All],1,0),"")</f>
        <v/>
      </c>
      <c r="F96" s="110" t="str">
        <f>IF(AND(F68&lt;&gt;"",F68&lt;&gt;0),VLOOKUP(F68,Tb_KostenTypen[#All],1,0),"")</f>
        <v/>
      </c>
      <c r="G96" s="110" t="str">
        <f>IF(AND(G68&lt;&gt;"",G68&lt;&gt;0),VLOOKUP(G68,Tb_KostenTypen[#All],1,0),"")</f>
        <v/>
      </c>
    </row>
    <row r="97" spans="1:7" x14ac:dyDescent="0.25">
      <c r="A97" s="110"/>
      <c r="B97" s="110" t="str">
        <f ca="1">IF(AND(B69&lt;&gt;"",B69&lt;&gt;0),VLOOKUP(B69,Tb_KostenTypen[#All],1,0),"")</f>
        <v/>
      </c>
      <c r="C97" s="110" t="str">
        <f>IF(AND(C69&lt;&gt;"",C69&lt;&gt;0),VLOOKUP(C69,Tb_KostenTypen[#All],1,0),"")</f>
        <v/>
      </c>
      <c r="D97" s="110" t="str">
        <f>IF(AND(D69&lt;&gt;"",D69&lt;&gt;0),VLOOKUP(D69,Tb_KostenTypen[#All],1,0),"")</f>
        <v/>
      </c>
      <c r="E97" s="110" t="str">
        <f>IF(AND(E69&lt;&gt;"",E69&lt;&gt;0),VLOOKUP(E69,Tb_KostenTypen[#All],1,0),"")</f>
        <v/>
      </c>
      <c r="F97" s="110" t="str">
        <f>IF(AND(F69&lt;&gt;"",F69&lt;&gt;0),VLOOKUP(F69,Tb_KostenTypen[#All],1,0),"")</f>
        <v/>
      </c>
      <c r="G97" s="110" t="str">
        <f>IF(AND(G69&lt;&gt;"",G69&lt;&gt;0),VLOOKUP(G69,Tb_KostenTypen[#All],1,0),"")</f>
        <v/>
      </c>
    </row>
    <row r="98" spans="1:7" x14ac:dyDescent="0.25">
      <c r="A98" s="110"/>
      <c r="B98" s="110" t="str">
        <f ca="1">IF(AND(B70&lt;&gt;"",B70&lt;&gt;0),VLOOKUP(B70,Tb_KostenTypen[#All],1,0),"")</f>
        <v/>
      </c>
      <c r="C98" s="110" t="str">
        <f>IF(AND(C70&lt;&gt;"",C70&lt;&gt;0),VLOOKUP(C70,Tb_KostenTypen[#All],1,0),"")</f>
        <v/>
      </c>
      <c r="D98" s="110" t="str">
        <f>IF(AND(D70&lt;&gt;"",D70&lt;&gt;0),VLOOKUP(D70,Tb_KostenTypen[#All],1,0),"")</f>
        <v/>
      </c>
      <c r="E98" s="110" t="str">
        <f>IF(AND(E70&lt;&gt;"",E70&lt;&gt;0),VLOOKUP(E70,Tb_KostenTypen[#All],1,0),"")</f>
        <v/>
      </c>
      <c r="F98" s="110" t="str">
        <f>IF(AND(F70&lt;&gt;"",F70&lt;&gt;0),VLOOKUP(F70,Tb_KostenTypen[#All],1,0),"")</f>
        <v/>
      </c>
      <c r="G98" s="110" t="str">
        <f>IF(AND(G70&lt;&gt;"",G70&lt;&gt;0),VLOOKUP(G70,Tb_KostenTypen[#All],1,0),"")</f>
        <v/>
      </c>
    </row>
    <row r="99" spans="1:7" x14ac:dyDescent="0.25">
      <c r="A99" s="110"/>
      <c r="B99" s="110" t="str">
        <f ca="1">IF(AND(B71&lt;&gt;"",B71&lt;&gt;0),VLOOKUP(B71,Tb_KostenTypen[#All],1,0),"")</f>
        <v/>
      </c>
      <c r="C99" s="110" t="str">
        <f>IF(AND(C71&lt;&gt;"",C71&lt;&gt;0),VLOOKUP(C71,Tb_KostenTypen[#All],1,0),"")</f>
        <v/>
      </c>
      <c r="D99" s="110" t="str">
        <f>IF(AND(D71&lt;&gt;"",D71&lt;&gt;0),VLOOKUP(D71,Tb_KostenTypen[#All],1,0),"")</f>
        <v/>
      </c>
      <c r="E99" s="110" t="str">
        <f>IF(AND(E71&lt;&gt;"",E71&lt;&gt;0),VLOOKUP(E71,Tb_KostenTypen[#All],1,0),"")</f>
        <v/>
      </c>
      <c r="F99" s="110" t="str">
        <f>IF(AND(F71&lt;&gt;"",F71&lt;&gt;0),VLOOKUP(F71,Tb_KostenTypen[#All],1,0),"")</f>
        <v/>
      </c>
      <c r="G99" s="110" t="str">
        <f>IF(AND(G71&lt;&gt;"",G71&lt;&gt;0),VLOOKUP(G71,Tb_KostenTypen[#All],1,0),"")</f>
        <v/>
      </c>
    </row>
    <row r="100" spans="1:7" x14ac:dyDescent="0.25">
      <c r="A100" s="110"/>
      <c r="B100" s="110" t="str">
        <f ca="1">IF(AND(B72&lt;&gt;"",B72&lt;&gt;0),VLOOKUP(B72,Tb_KostenTypen[#All],1,0),"")</f>
        <v/>
      </c>
      <c r="C100" s="110" t="str">
        <f>IF(AND(C72&lt;&gt;"",C72&lt;&gt;0),VLOOKUP(C72,Tb_KostenTypen[#All],1,0),"")</f>
        <v/>
      </c>
      <c r="D100" s="110" t="str">
        <f>IF(AND(D72&lt;&gt;"",D72&lt;&gt;0),VLOOKUP(D72,Tb_KostenTypen[#All],1,0),"")</f>
        <v/>
      </c>
      <c r="E100" s="110" t="str">
        <f>IF(AND(E72&lt;&gt;"",E72&lt;&gt;0),VLOOKUP(E72,Tb_KostenTypen[#All],1,0),"")</f>
        <v/>
      </c>
      <c r="F100" s="110" t="str">
        <f>IF(AND(F72&lt;&gt;"",F72&lt;&gt;0),VLOOKUP(F72,Tb_KostenTypen[#All],1,0),"")</f>
        <v/>
      </c>
      <c r="G100" s="110" t="str">
        <f>IF(AND(G72&lt;&gt;"",G72&lt;&gt;0),VLOOKUP(G72,Tb_KostenTypen[#All],1,0),"")</f>
        <v/>
      </c>
    </row>
    <row r="101" spans="1:7" x14ac:dyDescent="0.25">
      <c r="A101" s="110"/>
      <c r="B101" s="110" t="str">
        <f ca="1">IF(AND(B73&lt;&gt;"",B73&lt;&gt;0),VLOOKUP(B73,Tb_KostenTypen[#All],1,0),"")</f>
        <v/>
      </c>
      <c r="C101" s="110" t="str">
        <f>IF(AND(C73&lt;&gt;"",C73&lt;&gt;0),VLOOKUP(C73,Tb_KostenTypen[#All],1,0),"")</f>
        <v/>
      </c>
      <c r="D101" s="110" t="str">
        <f>IF(AND(D73&lt;&gt;"",D73&lt;&gt;0),VLOOKUP(D73,Tb_KostenTypen[#All],1,0),"")</f>
        <v/>
      </c>
      <c r="E101" s="110" t="str">
        <f>IF(AND(E73&lt;&gt;"",E73&lt;&gt;0),VLOOKUP(E73,Tb_KostenTypen[#All],1,0),"")</f>
        <v/>
      </c>
      <c r="F101" s="110" t="str">
        <f>IF(AND(F73&lt;&gt;"",F73&lt;&gt;0),VLOOKUP(F73,Tb_KostenTypen[#All],1,0),"")</f>
        <v/>
      </c>
      <c r="G101" s="110"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5" x14ac:dyDescent="0.25"/>
  <cols>
    <col min="1" max="1" width="3.140625" customWidth="1"/>
    <col min="2" max="2" width="28.85546875" customWidth="1"/>
    <col min="3" max="3" width="10.140625" bestFit="1" customWidth="1"/>
    <col min="4" max="4" width="10.140625" customWidth="1"/>
    <col min="5" max="5" width="14.28515625" customWidth="1"/>
    <col min="6" max="6" width="12.5703125" bestFit="1" customWidth="1"/>
    <col min="7" max="7" width="18" bestFit="1" customWidth="1"/>
    <col min="8" max="9" width="18.5703125" bestFit="1" customWidth="1"/>
    <col min="12" max="12" width="33.85546875" customWidth="1"/>
  </cols>
  <sheetData>
    <row r="2" spans="2:11" ht="45" x14ac:dyDescent="0.25">
      <c r="B2" s="232" t="s">
        <v>0</v>
      </c>
      <c r="C2" s="233" t="s">
        <v>109</v>
      </c>
      <c r="D2" s="234" t="s">
        <v>40</v>
      </c>
      <c r="E2" s="232" t="s">
        <v>8</v>
      </c>
      <c r="F2" s="233" t="s">
        <v>225</v>
      </c>
      <c r="G2" s="232" t="s">
        <v>24</v>
      </c>
      <c r="H2" s="232" t="s">
        <v>23</v>
      </c>
      <c r="I2" s="232" t="s">
        <v>22</v>
      </c>
      <c r="J2" s="1"/>
      <c r="K2" s="1"/>
    </row>
    <row r="3" spans="2:11" x14ac:dyDescent="0.25">
      <c r="B3" t="s">
        <v>7</v>
      </c>
      <c r="C3" t="s">
        <v>48</v>
      </c>
      <c r="D3" s="190">
        <v>1</v>
      </c>
      <c r="E3" t="s">
        <v>8</v>
      </c>
      <c r="F3">
        <f ca="1">IF(COUNTIFS(Kostentypen!$B$76:$G$87,Tb_KostenTypen[[#This Row],[Kostentype]])&gt;0,1,0)</f>
        <v>0</v>
      </c>
      <c r="G3" s="246"/>
      <c r="H3" s="246"/>
      <c r="I3" s="246"/>
    </row>
    <row r="4" spans="2:11" x14ac:dyDescent="0.25">
      <c r="B4" t="s">
        <v>5</v>
      </c>
      <c r="C4" t="s">
        <v>49</v>
      </c>
      <c r="D4" s="190">
        <v>1</v>
      </c>
      <c r="E4" t="s">
        <v>8</v>
      </c>
      <c r="F4">
        <f ca="1">IF(COUNTIFS(Kostentypen!$B$76:$G$87,Tb_KostenTypen[[#This Row],[Kostentype]])&gt;0,1,0)</f>
        <v>0</v>
      </c>
      <c r="G4" s="246">
        <v>50</v>
      </c>
      <c r="H4" s="246"/>
      <c r="I4" s="246">
        <v>43</v>
      </c>
    </row>
    <row r="5" spans="2:11" x14ac:dyDescent="0.25">
      <c r="B5" t="s">
        <v>53</v>
      </c>
      <c r="C5" t="s">
        <v>49</v>
      </c>
      <c r="D5" s="190">
        <v>0</v>
      </c>
      <c r="E5" t="s">
        <v>8</v>
      </c>
      <c r="F5">
        <f ca="1">IF(COUNTIFS(Kostentypen!$B$76:$G$87,Tb_KostenTypen[[#This Row],[Kostentype]])&gt;0,1,0)</f>
        <v>0</v>
      </c>
      <c r="G5" s="246">
        <v>78</v>
      </c>
      <c r="H5" s="246"/>
      <c r="I5" s="246">
        <v>95</v>
      </c>
    </row>
    <row r="6" spans="2:11" x14ac:dyDescent="0.25">
      <c r="B6" t="s">
        <v>43</v>
      </c>
      <c r="C6" t="s">
        <v>49</v>
      </c>
      <c r="D6" s="190">
        <v>0</v>
      </c>
      <c r="E6" t="s">
        <v>8</v>
      </c>
      <c r="F6">
        <f ca="1">IF(COUNTIFS(Kostentypen!$B$76:$G$87,Tb_KostenTypen[[#This Row],[Kostentype]])&gt;0,1,0)</f>
        <v>0</v>
      </c>
      <c r="G6" s="246">
        <v>88</v>
      </c>
      <c r="H6" s="246"/>
      <c r="I6" s="246">
        <v>107</v>
      </c>
    </row>
    <row r="7" spans="2:11" x14ac:dyDescent="0.25">
      <c r="B7" t="s">
        <v>52</v>
      </c>
      <c r="C7" t="s">
        <v>49</v>
      </c>
      <c r="D7" s="190">
        <v>0</v>
      </c>
      <c r="E7" t="s">
        <v>8</v>
      </c>
      <c r="F7">
        <f ca="1">IF(COUNTIFS(Kostentypen!$B$76:$G$87,Tb_KostenTypen[[#This Row],[Kostentype]])&gt;0,1,0)</f>
        <v>0</v>
      </c>
      <c r="G7" s="246">
        <v>44</v>
      </c>
      <c r="H7" s="246"/>
      <c r="I7" s="246">
        <v>54</v>
      </c>
    </row>
    <row r="8" spans="2:11" x14ac:dyDescent="0.25">
      <c r="B8" t="s">
        <v>307</v>
      </c>
      <c r="C8" t="s">
        <v>49</v>
      </c>
      <c r="D8" s="190">
        <v>0</v>
      </c>
      <c r="E8" t="s">
        <v>8</v>
      </c>
      <c r="F8">
        <f ca="1">IF(COUNTIFS(Kostentypen!$B$76:$G$87,Tb_KostenTypen[[#This Row],[Kostentype]])&gt;0,1,0)</f>
        <v>0</v>
      </c>
      <c r="G8" s="246">
        <v>50</v>
      </c>
      <c r="H8" s="246"/>
      <c r="I8" s="246">
        <v>60</v>
      </c>
    </row>
    <row r="9" spans="2:11" x14ac:dyDescent="0.25">
      <c r="B9" t="s">
        <v>106</v>
      </c>
      <c r="C9" t="s">
        <v>49</v>
      </c>
      <c r="D9" s="190">
        <v>1</v>
      </c>
      <c r="F9">
        <f ca="1">IF(COUNTIFS(Kostentypen!$B$76:$G$87,Tb_KostenTypen[[#This Row],[Kostentype]])&gt;0,1,0)</f>
        <v>0</v>
      </c>
      <c r="G9" s="246">
        <v>22</v>
      </c>
      <c r="H9" s="246">
        <v>22</v>
      </c>
      <c r="I9" s="246"/>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219" t="s">
        <v>143</v>
      </c>
      <c r="C1" s="220" t="s">
        <v>54</v>
      </c>
      <c r="D1" s="220" t="s">
        <v>205</v>
      </c>
      <c r="E1" s="220" t="s">
        <v>207</v>
      </c>
      <c r="F1" s="221" t="s">
        <v>206</v>
      </c>
    </row>
    <row r="2" spans="2:6" x14ac:dyDescent="0.25">
      <c r="B2" s="222" t="s">
        <v>24</v>
      </c>
      <c r="C2" t="str" cm="1">
        <f t="array" ref="C2">IFERROR(_xlfn._xlws.FILTER(D2:D11,D2:D11&gt;"-"),"")</f>
        <v/>
      </c>
      <c r="D2" s="222" t="str">
        <f>IFERROR(IF(VLOOKUP(Openstelling_Keuze,Tb_Openstelling[],F2,FALSE)=1,B2,"-"),"-")</f>
        <v>-</v>
      </c>
      <c r="E2" s="218" t="s">
        <v>204</v>
      </c>
      <c r="F2" s="222">
        <f>IFERROR(MATCH(E2,Tb_Openstelling[#Headers],0),"")</f>
        <v>3</v>
      </c>
    </row>
    <row r="3" spans="2:6" x14ac:dyDescent="0.25">
      <c r="B3" s="222" t="s">
        <v>23</v>
      </c>
      <c r="C3" s="223"/>
      <c r="D3" s="222" t="str">
        <f>IFERROR(IF(VLOOKUP(Openstelling_Keuze,Tb_Openstelling[],F3,FALSE)=1,B3,"-"),"-")</f>
        <v>-</v>
      </c>
      <c r="E3" s="218" t="s">
        <v>172</v>
      </c>
      <c r="F3" s="222">
        <f>IFERROR(MATCH(E3,Tb_Openstelling[#Headers],0),"")</f>
        <v>4</v>
      </c>
    </row>
    <row r="4" spans="2:6" x14ac:dyDescent="0.25">
      <c r="B4" s="222" t="s">
        <v>22</v>
      </c>
      <c r="C4" s="223"/>
      <c r="D4" s="222" t="str">
        <f>IFERROR(IF(VLOOKUP(Openstelling_Keuze,Tb_Openstelling[],F4,FALSE)=1,B4,"-"),"-")</f>
        <v>-</v>
      </c>
      <c r="E4" s="218" t="s">
        <v>173</v>
      </c>
      <c r="F4" s="222">
        <f>IFERROR(MATCH(E4,Tb_Openstelling[#Headers],0),"")</f>
        <v>5</v>
      </c>
    </row>
    <row r="5" spans="2:6" x14ac:dyDescent="0.25">
      <c r="B5" s="222"/>
      <c r="C5" s="223"/>
      <c r="D5" s="222" t="str">
        <f>IFERROR(IF(VLOOKUP(Openstelling_Keuze,Tb_Openstelling[],F5,FALSE)=1,B5,"-"),"-")</f>
        <v>-</v>
      </c>
      <c r="E5" s="218"/>
      <c r="F5" s="222" t="str">
        <f>IFERROR(MATCH(E5,Tb_Openstelling[#Headers],0),"")</f>
        <v/>
      </c>
    </row>
    <row r="6" spans="2:6" x14ac:dyDescent="0.25">
      <c r="B6" s="222"/>
      <c r="C6" s="223"/>
      <c r="D6" s="222" t="str">
        <f>IFERROR(IF(VLOOKUP(Openstelling_Keuze,Tb_Openstelling[],F6,FALSE)=1,B6,"-"),"-")</f>
        <v>-</v>
      </c>
      <c r="E6" s="218"/>
      <c r="F6" s="222" t="str">
        <f>IFERROR(MATCH(E6,Tb_Openstelling[#Headers],0),"")</f>
        <v/>
      </c>
    </row>
    <row r="7" spans="2:6" x14ac:dyDescent="0.25">
      <c r="B7" s="222"/>
      <c r="C7" s="223"/>
      <c r="D7" s="222" t="str">
        <f>IFERROR(IF(VLOOKUP(Openstelling_Keuze,Tb_Openstelling[],F7,FALSE)=1,B7,"-"),"-")</f>
        <v>-</v>
      </c>
      <c r="E7" s="218"/>
      <c r="F7" s="222" t="str">
        <f>IFERROR(MATCH(E7,Tb_Openstelling[#Headers],0),"")</f>
        <v/>
      </c>
    </row>
    <row r="8" spans="2:6" x14ac:dyDescent="0.25">
      <c r="B8" s="222"/>
      <c r="C8" s="223"/>
      <c r="D8" s="222" t="str">
        <f>IFERROR(IF(VLOOKUP(Openstelling_Keuze,Tb_Openstelling[],F8,FALSE)=1,B8,"-"),"-")</f>
        <v>-</v>
      </c>
      <c r="E8" s="218"/>
      <c r="F8" s="222" t="str">
        <f>IFERROR(MATCH(E8,Tb_Openstelling[#Headers],0),"")</f>
        <v/>
      </c>
    </row>
    <row r="9" spans="2:6" x14ac:dyDescent="0.25">
      <c r="B9" s="222"/>
      <c r="C9" s="223"/>
      <c r="D9" s="222" t="str">
        <f>IFERROR(IF(VLOOKUP(Openstelling_Keuze,Tb_Openstelling[],F9,FALSE)=1,B9,"-"),"-")</f>
        <v>-</v>
      </c>
      <c r="E9" s="218"/>
      <c r="F9" s="222" t="str">
        <f>IFERROR(MATCH(E9,Tb_Openstelling[#Headers],0),"")</f>
        <v/>
      </c>
    </row>
    <row r="10" spans="2:6" x14ac:dyDescent="0.25">
      <c r="B10" s="222"/>
      <c r="C10" s="223"/>
      <c r="D10" s="222" t="str">
        <f>IFERROR(IF(VLOOKUP(Openstelling_Keuze,Tb_Openstelling[],F10,FALSE)=1,B10,"-"),"-")</f>
        <v>-</v>
      </c>
      <c r="E10" s="218"/>
      <c r="F10" s="222" t="str">
        <f>IFERROR(MATCH(E10,Tb_Openstelling[#Headers],0),"")</f>
        <v/>
      </c>
    </row>
    <row r="11" spans="2:6" x14ac:dyDescent="0.25">
      <c r="B11" s="222"/>
      <c r="C11" s="223"/>
      <c r="D11" s="222" t="str">
        <f>IFERROR(IF(VLOOKUP(Openstelling_Keuze,Tb_Openstelling[],F11,FALSE)=1,B11,"-"),"-")</f>
        <v>-</v>
      </c>
      <c r="E11" s="218"/>
      <c r="F11" s="222"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86</vt:i4>
      </vt:variant>
    </vt:vector>
  </HeadingPairs>
  <TitlesOfParts>
    <vt:vector size="107"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'9. Betalingsoverzicht'!Afdrukbereik</vt:lpstr>
      <vt:lpstr>'Toelichting aanvraag'!Afdrukbereik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 NPI-niet landbouwbedrijven 2025 </dc:title>
  <dc:creator>Rijksdienst voor Ondernemend Nederland</dc:creator>
  <cp:lastModifiedBy>Rijksdienst voor Ondernemend Nederland</cp:lastModifiedBy>
  <cp:lastPrinted>2024-12-07T17:07:23Z</cp:lastPrinted>
  <dcterms:created xsi:type="dcterms:W3CDTF">2015-06-05T18:19:34Z</dcterms:created>
  <dcterms:modified xsi:type="dcterms:W3CDTF">2024-12-07T17:11:14Z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