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kai\Informatieproducten\Opdrachten 2025\Opmaak PDF\EIP\"/>
    </mc:Choice>
  </mc:AlternateContent>
  <xr:revisionPtr revIDLastSave="0" documentId="13_ncr:1_{A8C3D942-8B1D-40D4-8006-6F8EFEDE71F4}"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6">'6. Begrotingsoverzicht'!$A$1:$F$58</definedName>
    <definedName name="_xlnm.Print_Area" localSheetId="9">'7. Rekenhulp loonkosten bet.vz.'!$A$1:$Y$54</definedName>
    <definedName name="_xlnm.Print_Area" localSheetId="10">'8. Uitgaven betaalverzoek'!$B$1:$V$2001</definedName>
    <definedName name="_xlnm.Print_Area" localSheetId="11">'9. Betalingsoverzicht'!$A$1:$F$45</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32" l="1"/>
  <c r="Q5" i="32"/>
  <c r="Q4" i="32"/>
  <c r="Q7" i="32"/>
  <c r="Q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B151" i="11" l="1" a="1"/>
  <c r="B151" i="11" s="1"/>
  <c r="B152" i="11" a="1"/>
  <c r="B152" i="11" s="1"/>
  <c r="B153" i="11" a="1"/>
  <c r="B153" i="11" s="1"/>
  <c r="B154" i="11" a="1"/>
  <c r="B154" i="11" s="1"/>
  <c r="B155" i="11" a="1"/>
  <c r="B155" i="11" s="1"/>
  <c r="B156" i="11" a="1"/>
  <c r="B156" i="11" s="1"/>
  <c r="B157" i="11" a="1"/>
  <c r="B157" i="11" s="1"/>
  <c r="B158" i="11" a="1"/>
  <c r="B158" i="11" s="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N1" i="4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O1" i="41" s="1"/>
  <c r="P1" i="40"/>
  <c r="P1" i="41" s="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s="1" a="1"/>
  <c r="B167" i="11" s="1"/>
  <c r="B182" i="11"/>
  <c r="B168" i="11" s="1" a="1"/>
  <c r="B168" i="11" s="1"/>
  <c r="B183" i="11"/>
  <c r="B169" i="11" s="1" a="1"/>
  <c r="B169" i="11" s="1"/>
  <c r="B184" i="11"/>
  <c r="B170" i="11" s="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B166" i="11" s="1" a="1"/>
  <c r="B166" i="11" s="1"/>
  <c r="Q5" i="41"/>
  <c r="Q4" i="41"/>
  <c r="Q3" i="41"/>
  <c r="R1" i="31"/>
  <c r="Q1" i="31"/>
  <c r="H1" i="31"/>
  <c r="L3" i="17"/>
  <c r="I3" i="17"/>
  <c r="B179" i="11"/>
  <c r="B165" i="11" s="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s="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AR6" i="32"/>
  <c r="AR7" i="32"/>
  <c r="AR8"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s="1"/>
  <c r="B11" i="35" a="1"/>
  <c r="B11" i="35" s="1"/>
  <c r="B16" i="30" a="1"/>
  <c r="C17" i="30" s="1"/>
  <c r="B16" i="36" a="1"/>
  <c r="B16" i="36" s="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21" i="36"/>
  <c r="F22" i="36"/>
  <c r="F23" i="36"/>
  <c r="F24" i="36"/>
  <c r="F25" i="36"/>
  <c r="E19" i="36"/>
  <c r="E21" i="36"/>
  <c r="E22" i="36"/>
  <c r="E23" i="36"/>
  <c r="E24" i="36"/>
  <c r="E25" i="36"/>
  <c r="C21" i="30"/>
  <c r="C22" i="30"/>
  <c r="C23" i="30"/>
  <c r="C24" i="30"/>
  <c r="C25"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s="1"/>
  <c r="B138" i="11" s="1"/>
  <c r="B124" i="11" s="1" a="1"/>
  <c r="B124" i="11" s="1"/>
  <c r="B111" i="11" a="1"/>
  <c r="B111" i="11" s="1"/>
  <c r="B139" i="11" s="1"/>
  <c r="B125" i="11" s="1" a="1"/>
  <c r="B125" i="11" s="1"/>
  <c r="B112" i="11" a="1"/>
  <c r="B112" i="11"/>
  <c r="B140" i="11" s="1"/>
  <c r="B126" i="11" s="1" a="1"/>
  <c r="B126" i="11" s="1"/>
  <c r="B113" i="11" a="1"/>
  <c r="B113" i="11"/>
  <c r="B141" i="11" s="1"/>
  <c r="B127" i="11" s="1" a="1"/>
  <c r="B127" i="11" s="1"/>
  <c r="B114" i="11" a="1"/>
  <c r="B114" i="11" s="1"/>
  <c r="B142" i="11" s="1"/>
  <c r="B128" i="11" s="1" a="1"/>
  <c r="B128" i="11" s="1"/>
  <c r="B115" i="11" a="1"/>
  <c r="B115" i="11" s="1"/>
  <c r="B143" i="11" s="1"/>
  <c r="B129" i="11" s="1" a="1"/>
  <c r="B129" i="11" s="1"/>
  <c r="B116" i="11" a="1"/>
  <c r="B116" i="11"/>
  <c r="B144" i="11" s="1"/>
  <c r="B130" i="11" s="1" a="1"/>
  <c r="B130" i="11" s="1"/>
  <c r="B26" i="11" a="1"/>
  <c r="B26" i="11"/>
  <c r="B54" i="11" s="1"/>
  <c r="B40" i="11" s="1" a="1"/>
  <c r="B40" i="11" s="1"/>
  <c r="B27" i="11" a="1"/>
  <c r="B27" i="11" s="1"/>
  <c r="B55" i="11" s="1"/>
  <c r="B41" i="11" s="1" a="1"/>
  <c r="B41" i="11" s="1"/>
  <c r="B28" i="11" a="1"/>
  <c r="B28" i="11" s="1"/>
  <c r="B56" i="11" s="1"/>
  <c r="B42" i="11" s="1" a="1"/>
  <c r="B42" i="11" s="1"/>
  <c r="B29" i="11" a="1"/>
  <c r="B29" i="11"/>
  <c r="B30" i="11" a="1"/>
  <c r="B30" i="11"/>
  <c r="B58" i="11" s="1"/>
  <c r="B44" i="11" s="1" a="1"/>
  <c r="B44" i="11" s="1"/>
  <c r="B31" i="11" a="1"/>
  <c r="B31" i="11" s="1"/>
  <c r="B59" i="11" s="1"/>
  <c r="B45" i="11" s="1" a="1"/>
  <c r="B45" i="11" s="1"/>
  <c r="B32" i="11" a="1"/>
  <c r="B32" i="11" s="1"/>
  <c r="B60" i="11" s="1"/>
  <c r="B46" i="11" s="1" a="1"/>
  <c r="B46" i="11" s="1"/>
  <c r="B68" i="11" a="1"/>
  <c r="B68" i="11"/>
  <c r="B96" i="11" s="1"/>
  <c r="B82" i="11" s="1" a="1"/>
  <c r="B82" i="11" s="1"/>
  <c r="B69" i="11" a="1"/>
  <c r="B69" i="11"/>
  <c r="B97" i="11" s="1"/>
  <c r="B83" i="11" s="1" a="1"/>
  <c r="B83" i="11" s="1"/>
  <c r="B70" i="11" a="1"/>
  <c r="B70" i="11" s="1"/>
  <c r="B98" i="11" s="1"/>
  <c r="B84" i="11" s="1" a="1"/>
  <c r="B84" i="11" s="1"/>
  <c r="B71" i="11" a="1"/>
  <c r="B71" i="11" s="1"/>
  <c r="B99" i="11" s="1"/>
  <c r="B85" i="11" s="1" a="1"/>
  <c r="B85" i="11" s="1"/>
  <c r="B72" i="11" a="1"/>
  <c r="B72" i="11"/>
  <c r="B100" i="11" s="1"/>
  <c r="B86" i="11" s="1" a="1"/>
  <c r="B86" i="11" s="1"/>
  <c r="B73" i="11" a="1"/>
  <c r="B73" i="11"/>
  <c r="B101" i="11" s="1"/>
  <c r="B87" i="11" s="1" a="1"/>
  <c r="B87" i="11" s="1"/>
  <c r="B74" i="11" a="1"/>
  <c r="B74" i="11" s="1"/>
  <c r="B102" i="11" s="1"/>
  <c r="B88" i="11" s="1" a="1"/>
  <c r="B88" i="11" s="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22" i="11" s="1" a="1"/>
  <c r="A21" i="11"/>
  <c r="H246" i="17" s="1"/>
  <c r="X5" i="34"/>
  <c r="Y5" i="34"/>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C49" i="11" s="1"/>
  <c r="B24" i="11" a="1"/>
  <c r="B25" i="11" a="1"/>
  <c r="B25" i="11" s="1"/>
  <c r="B53" i="11" s="1"/>
  <c r="B39" i="11" s="1" a="1"/>
  <c r="B39" i="11" s="1"/>
  <c r="B23" i="11" a="1"/>
  <c r="B23" i="11" s="1"/>
  <c r="B51" i="11" s="1"/>
  <c r="A175" i="11" a="1"/>
  <c r="A175" i="11"/>
  <c r="A161" i="11" a="1"/>
  <c r="A161" i="11"/>
  <c r="A49" i="11" a="1"/>
  <c r="A49" i="11" s="1"/>
  <c r="A133" i="11" a="1"/>
  <c r="A133" i="11" s="1"/>
  <c r="A119" i="11" a="1"/>
  <c r="A119" i="11"/>
  <c r="A105" i="11" a="1"/>
  <c r="C60" i="11"/>
  <c r="C59" i="11"/>
  <c r="C58" i="11"/>
  <c r="B57" i="11"/>
  <c r="C57" i="11"/>
  <c r="C56" i="11"/>
  <c r="C55" i="11"/>
  <c r="C54" i="11"/>
  <c r="C53" i="11"/>
  <c r="C52"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5" i="17"/>
  <c r="H243" i="17"/>
  <c r="H242" i="17"/>
  <c r="H241" i="17"/>
  <c r="H240" i="17"/>
  <c r="H239" i="17"/>
  <c r="H237" i="17"/>
  <c r="H235" i="17"/>
  <c r="H234" i="17"/>
  <c r="H233" i="17"/>
  <c r="H232" i="17"/>
  <c r="H231" i="17"/>
  <c r="H229" i="17"/>
  <c r="H227" i="17"/>
  <c r="H226" i="17"/>
  <c r="H225" i="17"/>
  <c r="H224" i="17"/>
  <c r="H223" i="17"/>
  <c r="H221" i="17"/>
  <c r="H219" i="17"/>
  <c r="H218" i="17"/>
  <c r="H217" i="17"/>
  <c r="H216" i="17"/>
  <c r="H215" i="17"/>
  <c r="H213" i="17"/>
  <c r="H211" i="17"/>
  <c r="H210" i="17"/>
  <c r="H209" i="17"/>
  <c r="H208" i="17"/>
  <c r="H207" i="17"/>
  <c r="H205" i="17"/>
  <c r="H203" i="17"/>
  <c r="H202" i="17"/>
  <c r="H201" i="17"/>
  <c r="H200" i="17"/>
  <c r="H199" i="17"/>
  <c r="H197" i="17"/>
  <c r="H195" i="17"/>
  <c r="H194" i="17"/>
  <c r="H193" i="17"/>
  <c r="H192" i="17"/>
  <c r="H191" i="17"/>
  <c r="H189" i="17"/>
  <c r="H187" i="17"/>
  <c r="H186" i="17"/>
  <c r="H185" i="17"/>
  <c r="H184" i="17"/>
  <c r="H183" i="17"/>
  <c r="H181" i="17"/>
  <c r="H179" i="17"/>
  <c r="H178" i="17"/>
  <c r="H177" i="17"/>
  <c r="H176" i="17"/>
  <c r="H175" i="17"/>
  <c r="H173" i="17"/>
  <c r="H171" i="17"/>
  <c r="H170" i="17"/>
  <c r="H169" i="17"/>
  <c r="H168" i="17"/>
  <c r="H167" i="17"/>
  <c r="H165" i="17"/>
  <c r="H164" i="17"/>
  <c r="H163" i="17"/>
  <c r="H162" i="17"/>
  <c r="H161" i="17"/>
  <c r="H160" i="17"/>
  <c r="H159" i="17"/>
  <c r="H157" i="17"/>
  <c r="H156" i="17"/>
  <c r="H155" i="17"/>
  <c r="H154" i="17"/>
  <c r="H153" i="17"/>
  <c r="H152" i="17"/>
  <c r="H151" i="17"/>
  <c r="H149" i="17"/>
  <c r="H148" i="17"/>
  <c r="H147" i="17"/>
  <c r="H146" i="17"/>
  <c r="H145" i="17"/>
  <c r="H144" i="17"/>
  <c r="H143"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D53" i="11"/>
  <c r="B24" i="11"/>
  <c r="B52" i="11"/>
  <c r="B38" i="11" s="1" a="1"/>
  <c r="B38" i="11" s="1"/>
  <c r="D52" i="11"/>
  <c r="B66" i="11" a="1"/>
  <c r="B66" i="11"/>
  <c r="B94" i="11" s="1"/>
  <c r="B80" i="11" s="1" a="1"/>
  <c r="B80" i="11" s="1"/>
  <c r="B67" i="11" a="1"/>
  <c r="B67" i="11"/>
  <c r="B95" i="11" s="1"/>
  <c r="B81" i="11" s="1" a="1"/>
  <c r="B81" i="11" s="1"/>
  <c r="B108" i="11" a="1"/>
  <c r="B108" i="11" s="1"/>
  <c r="B136" i="11" s="1"/>
  <c r="B122" i="11" s="1" a="1"/>
  <c r="B122" i="11" s="1"/>
  <c r="B109" i="11" a="1"/>
  <c r="B109" i="11" s="1"/>
  <c r="B137" i="11" s="1"/>
  <c r="B123" i="11" s="1" a="1"/>
  <c r="B123" i="11" s="1"/>
  <c r="B64" i="11" a="1"/>
  <c r="B64" i="11" s="1"/>
  <c r="B92" i="11" s="1"/>
  <c r="B65" i="11" a="1"/>
  <c r="C93" i="11" s="1"/>
  <c r="B106" i="11" a="1"/>
  <c r="B106" i="11"/>
  <c r="B134" i="11" s="1"/>
  <c r="B120" i="11" s="1" a="1"/>
  <c r="B120" i="11" s="1"/>
  <c r="B107" i="11" a="1"/>
  <c r="B107" i="11" s="1"/>
  <c r="B135" i="11" s="1"/>
  <c r="B121" i="11" s="1" a="1"/>
  <c r="B121" i="11" s="1"/>
  <c r="A105" i="11"/>
  <c r="B105" i="11" a="1"/>
  <c r="B105" i="11" s="1"/>
  <c r="B133" i="11" s="1"/>
  <c r="B43" i="11" a="1"/>
  <c r="B43" i="11" s="1"/>
  <c r="C51" i="11"/>
  <c r="A63" i="11"/>
  <c r="B63" i="11" a="1"/>
  <c r="B63" i="11" s="1"/>
  <c r="B91" i="11" s="1"/>
  <c r="J10" i="17" a="1"/>
  <c r="J10" i="17"/>
  <c r="K10" i="17" a="1"/>
  <c r="K10" i="17"/>
  <c r="E133" i="11"/>
  <c r="D133" i="11"/>
  <c r="C133" i="11"/>
  <c r="E134" i="11"/>
  <c r="D134" i="11"/>
  <c r="C134" i="11"/>
  <c r="D92" i="11"/>
  <c r="E92" i="11"/>
  <c r="F92" i="11"/>
  <c r="G92" i="11"/>
  <c r="G91" i="11"/>
  <c r="D91" i="11"/>
  <c r="E91" i="11"/>
  <c r="F91" i="11"/>
  <c r="G49" i="11"/>
  <c r="J9" i="17" a="1"/>
  <c r="J9" i="17"/>
  <c r="K9" i="17" a="1"/>
  <c r="K9" i="17"/>
  <c r="J7" i="17" a="1"/>
  <c r="J7" i="17"/>
  <c r="K7" i="17" a="1"/>
  <c r="K7" i="17"/>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C32" i="35"/>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Z18" i="27"/>
  <c r="D35" i="21"/>
  <c r="J5" i="27"/>
  <c r="M5" i="27"/>
  <c r="C18" i="25"/>
  <c r="C20" i="35"/>
  <c r="C25" i="36"/>
  <c r="AD25" i="27"/>
  <c r="P3" i="38"/>
  <c r="Q4" i="38"/>
  <c r="J6" i="27"/>
  <c r="M6" i="27"/>
  <c r="I7" i="27"/>
  <c r="AG18" i="27"/>
  <c r="AF25" i="27"/>
  <c r="AG25" i="27"/>
  <c r="G18" i="25"/>
  <c r="H18" i="25"/>
  <c r="I18" i="25"/>
  <c r="J18" i="25"/>
  <c r="K18" i="25"/>
  <c r="L18" i="25"/>
  <c r="M18" i="25"/>
  <c r="I20" i="35"/>
  <c r="J20" i="35"/>
  <c r="K20" i="35"/>
  <c r="L20" i="35"/>
  <c r="M20" i="35"/>
  <c r="N20" i="35"/>
  <c r="O20" i="35"/>
  <c r="K7" i="27"/>
  <c r="N7" i="27"/>
  <c r="G6" i="6"/>
  <c r="AF18"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C50" i="11" l="1"/>
  <c r="B22" i="11"/>
  <c r="B50" i="11" s="1"/>
  <c r="D50" i="11"/>
  <c r="E50" i="11"/>
  <c r="F50" i="11"/>
  <c r="F16" i="36"/>
  <c r="E16" i="36"/>
  <c r="C92" i="11"/>
  <c r="B78" i="11" s="1" a="1"/>
  <c r="B78" i="11" s="1"/>
  <c r="B21" i="11"/>
  <c r="B49" i="11" s="1"/>
  <c r="F19" i="36"/>
  <c r="E49" i="11"/>
  <c r="C91" i="11"/>
  <c r="B77" i="11" s="1" a="1"/>
  <c r="B77" i="11" s="1"/>
  <c r="B16" i="30"/>
  <c r="C16" i="30" s="1"/>
  <c r="C19" i="30"/>
  <c r="E17" i="36"/>
  <c r="D49" i="11"/>
  <c r="H172" i="17"/>
  <c r="H180" i="17"/>
  <c r="H188" i="17"/>
  <c r="H196" i="17"/>
  <c r="H204" i="17"/>
  <c r="H212" i="17"/>
  <c r="H220" i="17"/>
  <c r="H228" i="17"/>
  <c r="H236" i="17"/>
  <c r="H244" i="17"/>
  <c r="H142" i="17"/>
  <c r="H150" i="17"/>
  <c r="H158" i="17"/>
  <c r="H166" i="17"/>
  <c r="H174" i="17"/>
  <c r="H182" i="17"/>
  <c r="H190" i="17"/>
  <c r="H198" i="17"/>
  <c r="H206" i="17"/>
  <c r="H214" i="17"/>
  <c r="H222" i="17"/>
  <c r="H230" i="17"/>
  <c r="H238" i="17"/>
  <c r="B65" i="11"/>
  <c r="B93" i="11" s="1"/>
  <c r="B79" i="11" s="1" a="1"/>
  <c r="B79" i="11" s="1"/>
  <c r="D51" i="11"/>
  <c r="E51" i="11"/>
  <c r="F51" i="11"/>
  <c r="G51" i="11"/>
  <c r="P10" i="17" a="1"/>
  <c r="P10" i="17" s="1"/>
  <c r="P9" i="17" a="1"/>
  <c r="P9" i="17" s="1"/>
  <c r="P7" i="17" a="1"/>
  <c r="P7" i="17" s="1"/>
  <c r="Y16" i="2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Z16" i="2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B35" i="11" l="1" a="1"/>
  <c r="B35" i="11" s="1"/>
  <c r="B36" i="11" a="1"/>
  <c r="B36" i="11" s="1"/>
  <c r="H3" i="27"/>
  <c r="AD16" i="27"/>
  <c r="I3" i="27"/>
  <c r="AE16" i="27"/>
  <c r="C12" i="35"/>
  <c r="C17" i="36"/>
  <c r="AG16" i="27"/>
  <c r="C12" i="25"/>
  <c r="AF16" i="27"/>
  <c r="B37" i="11" a="1"/>
  <c r="B37" i="11" s="1"/>
  <c r="O5" i="3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7" i="11" s="1" a="1"/>
  <c r="B148" i="11" a="1"/>
  <c r="B148" i="11" s="1"/>
  <c r="B149" i="11" a="1"/>
  <c r="B149" i="11" s="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G12" i="25" l="1"/>
  <c r="H12" i="25"/>
  <c r="I12" i="25"/>
  <c r="J12" i="25"/>
  <c r="K12" i="25"/>
  <c r="L12" i="25"/>
  <c r="M12" i="25"/>
  <c r="I12" i="35"/>
  <c r="J12" i="35"/>
  <c r="K12" i="35"/>
  <c r="L12" i="35"/>
  <c r="M12" i="35"/>
  <c r="N12" i="35"/>
  <c r="O12" i="35"/>
  <c r="U3" i="38"/>
  <c r="H3" i="38"/>
  <c r="T3" i="38"/>
  <c r="G3" i="38"/>
  <c r="AA43" i="27"/>
  <c r="S3" i="38"/>
  <c r="W3" i="38" s="1"/>
  <c r="F3" i="38"/>
  <c r="K3" i="38" s="1"/>
  <c r="AA30" i="27"/>
  <c r="Z43" i="27"/>
  <c r="E3" i="38"/>
  <c r="J3" i="38" s="1"/>
  <c r="R3" i="38"/>
  <c r="V3" i="38" s="1"/>
  <c r="Z30" i="27"/>
  <c r="E20" i="36"/>
  <c r="I20" i="36" s="1"/>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E2" i="26" s="1" a="1"/>
  <c r="E2" i="26" s="1"/>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1" i="36"/>
  <c r="I22" i="36"/>
  <c r="I23" i="36"/>
  <c r="I24" i="36"/>
  <c r="I25" i="36"/>
  <c r="I26" i="36"/>
  <c r="I16" i="36"/>
  <c r="B50" i="36"/>
  <c r="D51" i="36"/>
  <c r="C51" i="36"/>
  <c r="E51" i="36" s="1"/>
  <c r="B35" i="36"/>
  <c r="D36" i="36"/>
  <c r="C36" i="36"/>
  <c r="E36" i="36" s="1"/>
  <c r="B34" i="30"/>
  <c r="D34" i="30" s="1"/>
  <c r="D35" i="30"/>
  <c r="C35" i="30"/>
  <c r="E35" i="30" s="1"/>
  <c r="D50" i="36"/>
  <c r="D35" i="36"/>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B161" i="11" a="1"/>
  <c r="B161" i="11" s="1"/>
  <c r="B162" i="11" a="1"/>
  <c r="B162" i="11" s="1"/>
  <c r="B177" i="11"/>
  <c r="C177" i="11"/>
  <c r="D177" i="11"/>
  <c r="F44" i="35"/>
  <c r="F44" i="25"/>
  <c r="S105" i="17" a="1"/>
  <c r="S105" i="17" s="1"/>
  <c r="S4" i="17" s="1"/>
  <c r="Q4" i="17"/>
  <c r="R105" i="17" a="1"/>
  <c r="R105" i="17" s="1"/>
  <c r="R4" i="17" s="1"/>
  <c r="P4" i="17"/>
  <c r="E27" i="30" l="1"/>
  <c r="I27" i="36"/>
  <c r="C22" i="25"/>
  <c r="C34" i="30"/>
  <c r="E34" i="30" s="1"/>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O27" i="36" l="1"/>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P28" i="36"/>
  <c r="P29" i="36" s="1"/>
  <c r="Q28" i="36"/>
  <c r="Q29" i="36" s="1"/>
  <c r="R28" i="36"/>
  <c r="R29" i="36" s="1"/>
  <c r="D28" i="30"/>
  <c r="AF37" i="27"/>
  <c r="D17" i="30"/>
  <c r="D18" i="30"/>
  <c r="D19" i="30"/>
  <c r="D20" i="30"/>
  <c r="D21" i="30"/>
  <c r="D22" i="30"/>
  <c r="D23" i="30"/>
  <c r="D24" i="30"/>
  <c r="D25" i="30"/>
  <c r="D16" i="30"/>
  <c r="G28" i="36"/>
  <c r="H18" i="36"/>
  <c r="AF50" i="27"/>
  <c r="H17" i="36"/>
  <c r="H19" i="36"/>
  <c r="H20" i="36"/>
  <c r="H21" i="36"/>
  <c r="H22" i="36"/>
  <c r="H23" i="36"/>
  <c r="H24" i="36"/>
  <c r="H25" i="36"/>
  <c r="H16" i="36"/>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G39" i="25" s="1"/>
  <c r="D38" i="21"/>
  <c r="D36" i="21" s="1"/>
  <c r="B36" i="21" s="1"/>
  <c r="E38" i="6"/>
  <c r="E36" i="6" s="1"/>
  <c r="B36" i="6" s="1"/>
  <c r="C45" i="25"/>
  <c r="C46" i="25" s="1" a="1"/>
  <c r="C46" i="25" s="1"/>
  <c r="F52" i="25"/>
  <c r="I53" i="25" a="1"/>
  <c r="I53" i="25" s="1"/>
  <c r="G39" i="35"/>
  <c r="F52" i="35"/>
  <c r="O29" i="36" l="1"/>
  <c r="D27" i="30"/>
  <c r="D29" i="30" s="1"/>
  <c r="H27" i="36"/>
  <c r="H29" i="36" s="1"/>
  <c r="C61" i="36"/>
  <c r="E50" i="36"/>
  <c r="E61" i="36"/>
  <c r="E35" i="36"/>
  <c r="C46" i="36"/>
  <c r="E46"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s="1"/>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F32" i="25"/>
  <c r="F33" i="25"/>
  <c r="F34" i="25"/>
  <c r="F35" i="25"/>
  <c r="F36" i="25"/>
  <c r="F37" i="25"/>
  <c r="F38" i="25"/>
  <c r="D30" i="35"/>
  <c r="H21" i="35"/>
  <c r="F21" i="25"/>
  <c r="D30" i="25"/>
  <c r="F30" i="25" s="1"/>
  <c r="D48" i="25" l="1" a="1"/>
  <c r="D48" i="25" s="1"/>
  <c r="C48" i="25" s="1"/>
  <c r="D49" i="25"/>
  <c r="C49" i="25"/>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C55" i="25" s="1"/>
  <c r="J28" i="35"/>
  <c r="J32" i="35" s="1"/>
  <c r="I29" i="35"/>
  <c r="C53" i="35"/>
  <c r="J28" i="25"/>
  <c r="Q60" i="25"/>
  <c r="C53" i="25" l="1"/>
  <c r="C54" i="25" s="1"/>
  <c r="J35" i="35"/>
  <c r="J34" i="35"/>
  <c r="J37" i="35"/>
  <c r="J36" i="35"/>
  <c r="J31" i="35"/>
  <c r="J38" i="35"/>
  <c r="J30" i="35"/>
  <c r="J33" i="35"/>
  <c r="I30" i="35"/>
  <c r="I31" i="35" s="1"/>
  <c r="I32" i="35" s="1"/>
  <c r="I33" i="35" s="1"/>
  <c r="I34" i="35" s="1"/>
  <c r="I35" i="35" s="1"/>
  <c r="I36" i="35" s="1"/>
  <c r="I37" i="35" s="1"/>
  <c r="I38" i="35" s="1"/>
  <c r="I39" i="35"/>
  <c r="I40" i="35" s="1"/>
  <c r="J29" i="35"/>
  <c r="J39" i="35"/>
  <c r="J38" i="25"/>
  <c r="J37" i="25"/>
  <c r="J36" i="25"/>
  <c r="J35" i="25"/>
  <c r="J34" i="25"/>
  <c r="J33" i="25"/>
  <c r="J32" i="25"/>
  <c r="J30" i="25"/>
  <c r="J31" i="25"/>
  <c r="J29" i="25"/>
  <c r="C54" i="35"/>
  <c r="M2" i="37" s="1"/>
  <c r="D20" i="36"/>
  <c r="D19" i="36"/>
  <c r="D21" i="36"/>
  <c r="D17" i="36"/>
  <c r="D18" i="36"/>
  <c r="D22" i="36"/>
  <c r="D23" i="36"/>
  <c r="D24" i="36"/>
  <c r="D25" i="36"/>
  <c r="D55" i="35"/>
  <c r="D55" i="25" l="1"/>
  <c r="I29" i="25"/>
  <c r="J39" i="25"/>
  <c r="C57" i="35" a="1"/>
  <c r="C57" i="35" s="1"/>
  <c r="M4" i="37"/>
  <c r="M3" i="37"/>
  <c r="D22" i="35"/>
  <c r="I30" i="25" l="1"/>
  <c r="I31" i="25" s="1"/>
  <c r="I32" i="25" s="1"/>
  <c r="I33" i="25" s="1"/>
  <c r="I34" i="25" s="1"/>
  <c r="I35" i="25" s="1"/>
  <c r="I36" i="25" s="1"/>
  <c r="I37" i="25" s="1"/>
  <c r="I38" i="25" s="1"/>
  <c r="E41" i="35"/>
  <c r="D57" i="35" a="1"/>
  <c r="D57" i="35" s="1"/>
  <c r="F41" i="35" s="1" a="1"/>
  <c r="F41" i="35" s="1"/>
  <c r="D23" i="35"/>
  <c r="E23" i="35" s="1"/>
  <c r="D16" i="36"/>
  <c r="D27" i="36" s="1"/>
  <c r="I39" i="25" l="1"/>
  <c r="D24" i="35"/>
  <c r="E24" i="35"/>
  <c r="I40" i="25" l="1"/>
  <c r="C57" i="25" a="1"/>
  <c r="C57" i="25" s="1"/>
  <c r="E41" i="25" l="1"/>
  <c r="D57" i="25" a="1"/>
  <c r="D57" i="25" s="1"/>
  <c r="F41" i="25" s="1" a="1"/>
  <c r="F41" i="25" s="1"/>
  <c r="D42" i="35"/>
  <c r="J42" i="21" l="1"/>
  <c r="D42" i="25"/>
  <c r="K42" i="6"/>
  <c r="F42" i="25"/>
  <c r="K42" i="21"/>
  <c r="L42" i="6"/>
  <c r="H29" i="21" l="1"/>
  <c r="H21" i="21"/>
  <c r="H13" i="21"/>
  <c r="H27" i="21"/>
  <c r="H11" i="21"/>
  <c r="H18" i="21"/>
  <c r="H33" i="21"/>
  <c r="H17" i="21"/>
  <c r="H24" i="21"/>
  <c r="H8" i="21"/>
  <c r="H31" i="21"/>
  <c r="H23" i="21"/>
  <c r="H15" i="21"/>
  <c r="H30" i="21"/>
  <c r="H22" i="21"/>
  <c r="H6" i="21"/>
  <c r="J41" i="21"/>
  <c r="H28" i="21"/>
  <c r="H20" i="21"/>
  <c r="H12" i="21"/>
  <c r="H5" i="21"/>
  <c r="H19" i="21"/>
  <c r="H26" i="21"/>
  <c r="H10" i="21"/>
  <c r="H25" i="21"/>
  <c r="H9" i="21"/>
  <c r="H16" i="21"/>
  <c r="H34" i="21"/>
  <c r="H32" i="21"/>
  <c r="H7" i="21"/>
  <c r="H14" i="2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H42" i="21" l="1"/>
  <c r="H35" i="21"/>
  <c r="I42" i="2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<sst xmlns="http://schemas.openxmlformats.org/spreadsheetml/2006/main" count="1205" uniqueCount="509">
  <si>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</si>
  <si>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</si>
  <si>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</si>
  <si>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</si>
  <si>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</si>
  <si>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</si>
  <si>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</si>
  <si>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</si>
  <si>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</si>
  <si>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</si>
  <si>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</si>
  <si>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</si>
  <si>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</si>
  <si>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</si>
  <si>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</si>
  <si>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</si>
  <si>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</si>
  <si>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</si>
  <si>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</si>
  <si>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</si>
  <si>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</si>
  <si>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</si>
  <si>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</si>
  <si>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</si>
  <si>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</si>
  <si>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</si>
  <si>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</si>
  <si>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</si>
  <si>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</si>
  <si>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</si>
  <si>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</si>
  <si>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</si>
  <si>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</si>
  <si>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</si>
  <si>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</si>
  <si>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</si>
  <si>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</si>
  <si>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</si>
  <si>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</si>
  <si>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</si>
  <si>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</si>
  <si>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</si>
  <si>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</si>
  <si>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</si>
  <si>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</si>
  <si>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</si>
  <si>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</si>
  <si>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</si>
  <si>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</si>
  <si>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</si>
  <si>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</si>
  <si>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</si>
  <si>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</si>
  <si>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</si>
  <si>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</si>
  <si>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</si>
  <si>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</si>
  <si>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</si>
  <si>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</si>
  <si>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</si>
  <si>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</si>
  <si>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</si>
  <si>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</si>
  <si>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</si>
  <si>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</si>
  <si>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</si>
  <si>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</si>
  <si>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</si>
  <si>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</si>
  <si>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</si>
  <si>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</si>
  <si>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</si>
  <si>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</si>
  <si>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</si>
  <si>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</si>
  <si>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</si>
  <si>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</si>
  <si>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</si>
  <si>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</si>
  <si>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</si>
  <si>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</si>
  <si>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</si>
  <si>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</si>
  <si>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</si>
  <si>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</si>
  <si>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</si>
  <si>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</si>
  <si>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</si>
  <si>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</si>
  <si>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</si>
  <si>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</si>
  <si>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</si>
  <si>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</si>
  <si>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</si>
  <si>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</si>
  <si>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</si>
  <si>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</si>
  <si>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</si>
  <si>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</si>
  <si>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</si>
  <si>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</si>
  <si>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</si>
  <si>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</si>
  <si>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</si>
  <si>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</si>
  <si>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</si>
  <si>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</si>
  <si>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</si>
  <si>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</si>
  <si>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</si>
  <si>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</si>
  <si>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</si>
  <si>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</si>
  <si>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</si>
  <si>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</si>
  <si>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</si>
  <si>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</si>
  <si>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</si>
  <si>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</si>
  <si>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</si>
  <si>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</si>
  <si>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</si>
  <si>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</si>
  <si>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</si>
  <si>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</si>
  <si>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</si>
  <si>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</si>
  <si>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</si>
  <si>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</si>
  <si>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</si>
  <si>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</si>
  <si>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</si>
  <si>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</si>
  <si>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</si>
  <si>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</si>
  <si>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</si>
  <si>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</si>
  <si>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</si>
  <si>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</si>
  <si>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</si>
  <si>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</si>
  <si>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</si>
  <si>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</si>
  <si>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</si>
  <si>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</si>
  <si>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</si>
  <si>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</si>
  <si>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</si>
  <si>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</si>
  <si>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</si>
  <si>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</si>
  <si>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</si>
  <si>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</si>
  <si>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</si>
  <si>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</si>
  <si>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</si>
  <si>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</si>
  <si>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</si>
  <si>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</si>
  <si>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</si>
  <si>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</si>
  <si>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</si>
  <si>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</si>
  <si>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</si>
  <si>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</si>
  <si>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</si>
  <si>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</si>
  <si>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</si>
  <si>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</si>
  <si>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</si>
  <si>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</si>
  <si>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</si>
  <si>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</si>
  <si>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</si>
  <si>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</si>
  <si>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</si>
  <si>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</si>
  <si>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</si>
  <si>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</si>
  <si>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</si>
  <si>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</si>
  <si>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</si>
  <si>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</si>
  <si>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</si>
  <si>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</si>
  <si>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</si>
  <si>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</si>
  <si>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</si>
  <si>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</si>
  <si>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</si>
  <si>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</si>
  <si>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</si>
  <si>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</si>
  <si>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</si>
  <si>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</si>
  <si>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</si>
  <si>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</si>
  <si>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</si>
  <si>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</si>
  <si>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</si>
  <si>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</si>
  <si>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</si>
  <si>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</si>
  <si>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</si>
  <si>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</si>
  <si>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</si>
  <si>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</si>
  <si>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</si>
  <si>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</si>
  <si>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</si>
  <si>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</si>
  <si>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</si>
  <si>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</si>
  <si>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</si>
  <si>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</si>
  <si>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</si>
  <si>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</si>
  <si>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</si>
  <si>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</si>
  <si>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</si>
  <si>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</si>
  <si>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</si>
  <si>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</si>
  <si>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</si>
  <si>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</si>
  <si>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</si>
  <si>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</si>
  <si>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</si>
  <si>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</si>
  <si>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</si>
  <si>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</si>
  <si>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</si>
  <si>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</si>
  <si>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</si>
  <si>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</si>
  <si>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</si>
  <si>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</si>
  <si>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</si>
  <si>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</si>
  <si>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</si>
  <si>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</si>
  <si>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</si>
  <si>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</si>
  <si>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</si>
  <si>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</si>
  <si>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</si>
  <si>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</si>
  <si>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</si>
  <si>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</si>
  <si>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</si>
  <si>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</si>
  <si>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</si>
  <si>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</si>
  <si>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</si>
  <si>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</si>
  <si>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</si>
  <si>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</si>
  <si>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</si>
  <si>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</si>
  <si>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</si>
  <si>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</si>
  <si>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</si>
  <si>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</si>
  <si>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</si>
  <si>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</si>
  <si>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</si>
  <si>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</si>
  <si>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</si>
  <si>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</si>
  <si>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</si>
  <si>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</si>
  <si>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</si>
  <si>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</si>
  <si>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</si>
  <si>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</si>
  <si>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</si>
  <si>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</si>
  <si>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</si>
  <si>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</si>
  <si>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</si>
  <si>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</si>
  <si>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</si>
  <si>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</si>
  <si>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</si>
  <si>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</si>
  <si>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</si>
  <si>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</si>
  <si>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</si>
  <si>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</si>
  <si>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</si>
  <si>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</si>
  <si>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</si>
  <si>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</si>
  <si>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</si>
  <si>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</si>
  <si>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</si>
  <si>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</si>
  <si>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</si>
  <si>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</si>
  <si>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</si>
  <si>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</si>
  <si>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</si>
  <si>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</si>
  <si>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</si>
  <si>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</si>
  <si>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</si>
  <si>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</si>
  <si>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</si>
  <si>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</si>
  <si>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</si>
  <si>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</si>
  <si>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</si>
  <si>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</si>
  <si>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</si>
  <si>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</si>
  <si>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</si>
  <si>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</si>
  <si>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</si>
  <si>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</si>
  <si>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</si>
  <si>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</si>
  <si>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</si>
  <si>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</si>
  <si>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</si>
  <si>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</si>
  <si>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</si>
  <si>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</si>
  <si>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</si>
  <si>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</si>
  <si>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</si>
  <si>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</si>
  <si>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</si>
  <si>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</si>
  <si>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</si>
  <si>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</si>
  <si>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</si>
  <si>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</si>
  <si>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</si>
  <si>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</si>
  <si>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</si>
  <si>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</si>
  <si>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</si>
  <si>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</si>
  <si>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</si>
  <si>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</si>
  <si>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</si>
  <si>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</si>
  <si>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</si>
  <si>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</si>
  <si>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</si>
  <si>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</si>
  <si>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</si>
  <si>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</si>
  <si>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</si>
  <si>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</si>
  <si>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</si>
  <si>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</si>
  <si>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</si>
  <si>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</si>
  <si>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</si>
  <si>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</si>
  <si>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</si>
  <si>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</si>
  <si>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</si>
  <si>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</si>
  <si>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</si>
  <si>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</si>
  <si>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</si>
  <si>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</si>
  <si>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</si>
  <si>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</si>
  <si>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</si>
  <si>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</si>
  <si>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</si>
  <si>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</si>
  <si>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</si>
  <si>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</si>
  <si>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</si>
  <si>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</si>
  <si>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</si>
  <si>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</si>
  <si>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</si>
  <si>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</si>
  <si>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</si>
  <si>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</si>
  <si>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</si>
  <si>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</si>
  <si>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</si>
  <si>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</si>
  <si>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</si>
  <si>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</si>
  <si>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</si>
  <si>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</si>
  <si>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</si>
  <si>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</si>
  <si>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</si>
  <si>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</si>
  <si>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</si>
  <si>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</si>
  <si>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</si>
  <si>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</si>
  <si>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</si>
  <si>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</si>
  <si>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</si>
  <si>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</si>
  <si>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</si>
  <si>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</si>
  <si>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</si>
  <si>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</si>
  <si>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</si>
  <si>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</si>
  <si>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</si>
  <si>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</si>
  <si>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</si>
  <si>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</si>
  <si>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</si>
  <si>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</si>
  <si>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</si>
  <si>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</si>
  <si>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</si>
  <si>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</si>
  <si>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</si>
  <si>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</si>
  <si>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</si>
  <si>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</si>
  <si>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</si>
  <si>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</si>
  <si>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</si>
  <si>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</si>
  <si>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</si>
  <si>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</si>
  <si>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</si>
  <si>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</si>
  <si>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</si>
  <si>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</si>
  <si>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</si>
  <si>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</si>
  <si>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</si>
  <si>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</si>
  <si>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</si>
  <si>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</si>
  <si>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</si>
  <si>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</si>
  <si>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</si>
  <si>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</si>
  <si>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</si>
  <si>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</si>
  <si>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</si>
  <si>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</si>
  <si>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</si>
  <si>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</si>
  <si>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</si>
  <si>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</si>
  <si>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</si>
  <si>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</si>
  <si>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</si>
  <si>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</si>
  <si>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</si>
  <si>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</si>
  <si>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</si>
  <si>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</si>
  <si>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</si>
  <si>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</si>
  <si>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</si>
  <si>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</si>
  <si>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</si>
  <si>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</si>
  <si>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</si>
  <si>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</si>
  <si>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</si>
  <si>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</si>
  <si>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</si>
  <si>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</si>
  <si>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</si>
  <si>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</si>
  <si>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</si>
  <si>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</si>
  <si>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</si>
  <si>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</si>
  <si>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</si>
  <si>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</si>
  <si>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</si>
  <si>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</si>
  <si>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</si>
  <si>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</si>
  <si>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</si>
  <si>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</si>
  <si>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</si>
  <si>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</si>
  <si>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</si>
  <si>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</si>
  <si>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</si>
  <si>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</si>
  <si>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</si>
  <si>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</si>
  <si>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</si>
  <si>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</si>
  <si>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</si>
  <si>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</si>
  <si>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</si>
  <si>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</si>
  <si>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</si>
  <si>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Versie 07-04-2025</t>
  </si>
  <si>
    <t>Investeringen</t>
  </si>
  <si>
    <t>Versie 25-04-2025</t>
  </si>
  <si>
    <t>Samenwerken aan innovatie (EIP) provincies 2025</t>
  </si>
  <si>
    <r>
      <t xml:space="preserve">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</si>
  <si>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Samenwerken aan innovatie (EIP) Noord-Holland</t>
  </si>
  <si>
    <t>Samenwerken aan innovatie (EIP) Zeeland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</si>
</sst>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2">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35" fillId="23" borderId="5" xfId="4" applyNumberFormat="1" applyFont="1" applyFill="1" applyBorder="1" applyAlignment="1" applyProtection="1">
      <alignment horizontal="left" vertical="top"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Row],[Openstelling]],Tb_Openstelling[#Data],2,0)=1,1,""),"")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election activeCell="D6" sqref="D6"/>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505</v>
      </c>
    </row>
    <row r="4" spans="1:1" x14ac:dyDescent="0.25">
      <c r="A4" s="229" t="s">
        <v>504</v>
      </c>
    </row>
    <row r="5" spans="1:1" x14ac:dyDescent="0.25">
      <c r="A5" s="230"/>
    </row>
    <row r="6" spans="1:1" x14ac:dyDescent="0.25">
      <c r="A6" s="230" t="s">
        <v>212</v>
      </c>
    </row>
    <row r="7" spans="1:1" x14ac:dyDescent="0.25">
      <c r="A7" s="230" t="s">
        <v>384</v>
      </c>
    </row>
    <row r="8" spans="1:1" x14ac:dyDescent="0.25">
      <c r="A8" s="230"/>
    </row>
    <row r="9" spans="1:1" x14ac:dyDescent="0.25">
      <c r="A9" s="230" t="s">
        <v>385</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500</v>
      </c>
    </row>
    <row r="15" spans="1:1" x14ac:dyDescent="0.25">
      <c r="A15" s="230" t="s">
        <v>386</v>
      </c>
    </row>
    <row r="16" spans="1:1" x14ac:dyDescent="0.25">
      <c r="A16" s="230" t="s">
        <v>499</v>
      </c>
    </row>
    <row r="17" spans="1:19" x14ac:dyDescent="0.25">
      <c r="A17" s="230" t="s">
        <v>387</v>
      </c>
    </row>
    <row r="18" spans="1:19" x14ac:dyDescent="0.25">
      <c r="A18" s="230" t="s">
        <v>388</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389</v>
      </c>
      <c r="B23" s="16"/>
      <c r="C23" s="16"/>
      <c r="D23" s="16"/>
      <c r="E23" s="16"/>
      <c r="F23" s="16"/>
      <c r="G23" s="16"/>
      <c r="H23" s="16"/>
      <c r="I23" s="16"/>
      <c r="J23" s="16"/>
      <c r="K23" s="16"/>
      <c r="L23" s="16"/>
      <c r="M23" s="16"/>
      <c r="N23" s="16"/>
      <c r="O23" s="16"/>
      <c r="P23" s="16"/>
      <c r="Q23" s="16"/>
      <c r="R23" s="16"/>
      <c r="S23" s="16"/>
    </row>
    <row r="24" spans="1:19" x14ac:dyDescent="0.25">
      <c r="A24" s="230" t="s">
        <v>390</v>
      </c>
      <c r="B24" s="16"/>
      <c r="C24" s="16"/>
      <c r="D24" s="16"/>
      <c r="E24" s="16"/>
      <c r="F24" s="16"/>
      <c r="G24" s="16"/>
      <c r="H24" s="16"/>
      <c r="I24" s="16"/>
      <c r="J24" s="16"/>
      <c r="K24" s="16"/>
      <c r="L24" s="16"/>
      <c r="M24" s="16"/>
      <c r="N24" s="16"/>
      <c r="O24" s="16"/>
      <c r="P24" s="16"/>
      <c r="Q24" s="16"/>
      <c r="R24" s="16"/>
      <c r="S24" s="16"/>
    </row>
    <row r="25" spans="1:19" x14ac:dyDescent="0.25">
      <c r="A25" s="230" t="s">
        <v>391</v>
      </c>
      <c r="B25" s="16"/>
      <c r="C25" s="16"/>
      <c r="D25" s="16"/>
      <c r="E25" s="16"/>
      <c r="F25" s="16"/>
      <c r="G25" s="16"/>
      <c r="H25" s="16"/>
      <c r="I25" s="16"/>
      <c r="J25" s="16"/>
      <c r="K25" s="16"/>
      <c r="L25" s="16"/>
      <c r="M25" s="16"/>
      <c r="N25" s="16"/>
      <c r="O25" s="16"/>
      <c r="P25" s="16"/>
      <c r="Q25" s="16"/>
      <c r="R25" s="16"/>
      <c r="S25" s="16"/>
    </row>
    <row r="26" spans="1:19" x14ac:dyDescent="0.25">
      <c r="A26" s="230" t="s">
        <v>392</v>
      </c>
    </row>
    <row r="27" spans="1:19" x14ac:dyDescent="0.25">
      <c r="A27" s="230" t="s">
        <v>393</v>
      </c>
    </row>
    <row r="28" spans="1:19" x14ac:dyDescent="0.25">
      <c r="A28" s="230" t="s">
        <v>394</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395</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396</v>
      </c>
      <c r="B36" s="16"/>
      <c r="C36" s="16"/>
      <c r="D36" s="16"/>
      <c r="E36" s="16"/>
      <c r="F36" s="16"/>
      <c r="G36" s="16"/>
      <c r="H36" s="16"/>
      <c r="I36" s="16"/>
      <c r="J36" s="16"/>
      <c r="K36" s="16"/>
      <c r="L36" s="16"/>
      <c r="M36" s="16"/>
      <c r="N36" s="16"/>
      <c r="O36" s="16"/>
      <c r="P36" s="16"/>
      <c r="Q36" s="16"/>
      <c r="R36" s="16"/>
      <c r="S36" s="16"/>
    </row>
    <row r="37" spans="1:22" x14ac:dyDescent="0.25">
      <c r="A37" s="232" t="s">
        <v>397</v>
      </c>
      <c r="B37" s="16"/>
      <c r="C37" s="16"/>
      <c r="D37" s="16"/>
      <c r="E37" s="16"/>
      <c r="F37" s="16"/>
      <c r="G37" s="16"/>
      <c r="H37" s="16"/>
      <c r="I37" s="16"/>
      <c r="J37" s="16"/>
      <c r="K37" s="16"/>
      <c r="L37" s="16"/>
      <c r="M37" s="16"/>
      <c r="N37" s="16"/>
      <c r="O37" s="16"/>
      <c r="P37" s="16"/>
      <c r="Q37" s="16"/>
      <c r="R37" s="16"/>
      <c r="S37" s="16"/>
    </row>
    <row r="38" spans="1:22" x14ac:dyDescent="0.25">
      <c r="A38" s="232" t="s">
        <v>366</v>
      </c>
      <c r="B38" s="16"/>
      <c r="C38" s="16"/>
      <c r="D38" s="16"/>
      <c r="E38" s="16"/>
      <c r="F38" s="16"/>
      <c r="G38" s="16"/>
      <c r="H38" s="16"/>
      <c r="I38" s="16"/>
      <c r="J38" s="16"/>
      <c r="K38" s="16"/>
      <c r="L38" s="16"/>
      <c r="M38" s="16"/>
      <c r="N38" s="16"/>
      <c r="O38" s="16"/>
      <c r="P38" s="16"/>
      <c r="Q38" s="16"/>
      <c r="R38" s="16"/>
      <c r="S38" s="16"/>
    </row>
    <row r="39" spans="1:22" x14ac:dyDescent="0.25">
      <c r="A39" s="232" t="s">
        <v>494</v>
      </c>
    </row>
    <row r="40" spans="1:22" x14ac:dyDescent="0.25">
      <c r="A40" s="232" t="s">
        <v>367</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398</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368</v>
      </c>
      <c r="B45" s="16"/>
      <c r="C45" s="16"/>
      <c r="D45" s="16"/>
      <c r="E45" s="16"/>
      <c r="F45" s="16"/>
      <c r="G45" s="16"/>
      <c r="H45" s="16"/>
      <c r="I45" s="16"/>
      <c r="J45" s="16"/>
      <c r="K45" s="16"/>
      <c r="L45" s="16"/>
      <c r="M45" s="16"/>
      <c r="N45" s="16"/>
      <c r="O45" s="16"/>
      <c r="P45" s="16"/>
      <c r="Q45" s="16"/>
    </row>
    <row r="46" spans="1:22" x14ac:dyDescent="0.25">
      <c r="A46" s="232" t="s">
        <v>399</v>
      </c>
      <c r="B46" s="16"/>
      <c r="C46" s="16"/>
      <c r="D46" s="16"/>
      <c r="E46" s="16"/>
      <c r="F46" s="16"/>
      <c r="G46" s="16"/>
      <c r="H46" s="16"/>
      <c r="I46" s="16"/>
      <c r="J46" s="16"/>
      <c r="K46" s="16"/>
      <c r="L46" s="16"/>
      <c r="M46" s="16"/>
      <c r="N46" s="16"/>
      <c r="O46" s="16"/>
      <c r="P46" s="16"/>
      <c r="Q46" s="16"/>
    </row>
    <row r="47" spans="1:22" x14ac:dyDescent="0.25">
      <c r="A47" s="232" t="s">
        <v>400</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401</v>
      </c>
      <c r="B50" s="16"/>
      <c r="C50" s="16"/>
      <c r="D50" s="16"/>
      <c r="E50" s="16"/>
      <c r="F50" s="16"/>
      <c r="G50" s="16"/>
      <c r="H50" s="16"/>
      <c r="I50" s="16"/>
      <c r="J50" s="16"/>
      <c r="K50" s="16"/>
      <c r="L50" s="16"/>
      <c r="M50" s="16"/>
      <c r="N50" s="16"/>
      <c r="O50" s="16"/>
      <c r="P50" s="16"/>
      <c r="Q50" s="16"/>
    </row>
    <row r="51" spans="1:20" x14ac:dyDescent="0.25">
      <c r="A51" s="230" t="s">
        <v>402</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369</v>
      </c>
    </row>
    <row r="54" spans="1:20" x14ac:dyDescent="0.25">
      <c r="A54" s="230" t="s">
        <v>370</v>
      </c>
    </row>
    <row r="55" spans="1:20" x14ac:dyDescent="0.25">
      <c r="A55" s="230" t="s">
        <v>371</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347</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403</v>
      </c>
      <c r="B65" s="16"/>
      <c r="C65" s="16"/>
      <c r="D65" s="16"/>
      <c r="E65" s="16"/>
      <c r="F65" s="16"/>
      <c r="G65" s="16"/>
      <c r="H65" s="16"/>
      <c r="I65" s="16"/>
      <c r="J65" s="16"/>
      <c r="K65" s="16"/>
      <c r="L65" s="16"/>
      <c r="M65" s="16"/>
      <c r="N65" s="16"/>
      <c r="O65" s="16"/>
      <c r="P65" s="16"/>
      <c r="Q65" s="16"/>
      <c r="R65" s="16"/>
      <c r="S65" s="16"/>
      <c r="T65" s="16"/>
    </row>
    <row r="66" spans="1:20" x14ac:dyDescent="0.25">
      <c r="A66" s="232" t="s">
        <v>404</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405</v>
      </c>
      <c r="B68" s="16"/>
      <c r="C68" s="16"/>
      <c r="D68" s="16"/>
      <c r="E68" s="16"/>
      <c r="F68" s="16"/>
      <c r="G68" s="16"/>
      <c r="H68" s="16"/>
      <c r="I68" s="16"/>
      <c r="J68" s="16"/>
      <c r="K68" s="16"/>
      <c r="L68" s="16"/>
      <c r="M68" s="16"/>
      <c r="N68" s="16"/>
      <c r="O68" s="16"/>
      <c r="P68" s="16"/>
      <c r="Q68" s="16"/>
      <c r="R68" s="16"/>
      <c r="S68" s="16"/>
      <c r="T68" s="16"/>
    </row>
    <row r="69" spans="1:20" x14ac:dyDescent="0.25">
      <c r="A69" s="232" t="s">
        <v>406</v>
      </c>
      <c r="B69" s="16"/>
      <c r="C69" s="16"/>
      <c r="D69" s="16"/>
      <c r="E69" s="16"/>
      <c r="F69" s="16"/>
      <c r="G69" s="16"/>
      <c r="H69" s="16"/>
      <c r="I69" s="16"/>
      <c r="J69" s="16"/>
      <c r="K69" s="16"/>
      <c r="L69" s="16"/>
      <c r="M69" s="16"/>
      <c r="N69" s="16"/>
      <c r="O69" s="16"/>
      <c r="P69" s="16"/>
      <c r="Q69" s="16"/>
      <c r="R69" s="16"/>
      <c r="S69" s="16"/>
      <c r="T69" s="16"/>
    </row>
    <row r="70" spans="1:20" x14ac:dyDescent="0.25">
      <c r="A70" s="232" t="s">
        <v>407</v>
      </c>
    </row>
    <row r="71" spans="1:20" x14ac:dyDescent="0.25">
      <c r="A71" s="232" t="s">
        <v>241</v>
      </c>
    </row>
    <row r="72" spans="1:20" x14ac:dyDescent="0.25">
      <c r="A72" s="232" t="s">
        <v>408</v>
      </c>
    </row>
    <row r="73" spans="1:20" hidden="1" x14ac:dyDescent="0.25">
      <c r="A73" s="370" t="s">
        <v>492</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409</v>
      </c>
    </row>
    <row r="79" spans="1:20" x14ac:dyDescent="0.25">
      <c r="A79" s="232" t="s">
        <v>410</v>
      </c>
    </row>
    <row r="80" spans="1:20" x14ac:dyDescent="0.25">
      <c r="A80" s="232" t="s">
        <v>411</v>
      </c>
    </row>
    <row r="81" spans="1:20" x14ac:dyDescent="0.25">
      <c r="A81" s="301" t="s">
        <v>412</v>
      </c>
    </row>
    <row r="82" spans="1:20" x14ac:dyDescent="0.25">
      <c r="A82" s="301" t="s">
        <v>413</v>
      </c>
    </row>
    <row r="83" spans="1:20" hidden="1" x14ac:dyDescent="0.25">
      <c r="A83" s="370" t="s">
        <v>365</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414</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415</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372</v>
      </c>
      <c r="B90" s="16"/>
      <c r="C90" s="16"/>
      <c r="D90" s="16"/>
      <c r="E90" s="16"/>
      <c r="F90" s="16"/>
      <c r="G90" s="16"/>
      <c r="H90" s="16"/>
      <c r="I90" s="16"/>
      <c r="J90" s="16"/>
      <c r="K90" s="16"/>
      <c r="L90" s="16"/>
      <c r="M90" s="16"/>
      <c r="N90" s="16"/>
      <c r="O90" s="16"/>
      <c r="P90" s="16"/>
      <c r="Q90" s="16"/>
      <c r="R90" s="16"/>
      <c r="S90" s="16"/>
      <c r="T90" s="16"/>
    </row>
    <row r="91" spans="1:20" x14ac:dyDescent="0.25">
      <c r="A91" s="232" t="s">
        <v>416</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417</v>
      </c>
      <c r="B93" s="16"/>
      <c r="C93" s="16"/>
      <c r="D93" s="16"/>
      <c r="E93" s="16"/>
      <c r="F93" s="16"/>
      <c r="G93" s="16"/>
      <c r="H93" s="16"/>
      <c r="I93" s="16"/>
      <c r="J93" s="16"/>
      <c r="K93" s="16"/>
      <c r="L93" s="16"/>
      <c r="M93" s="16"/>
      <c r="N93" s="16"/>
      <c r="O93" s="16"/>
      <c r="P93" s="16"/>
      <c r="Q93" s="16"/>
      <c r="R93" s="16"/>
      <c r="S93" s="16"/>
      <c r="T93" s="16"/>
    </row>
    <row r="94" spans="1:20" x14ac:dyDescent="0.25">
      <c r="A94" s="232" t="s">
        <v>418</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419</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420</v>
      </c>
    </row>
    <row r="99" spans="1:1" x14ac:dyDescent="0.25">
      <c r="A99" s="230"/>
    </row>
    <row r="100" spans="1:1" hidden="1" x14ac:dyDescent="0.25">
      <c r="A100" s="371" t="s">
        <v>421</v>
      </c>
    </row>
    <row r="101" spans="1:1" hidden="1" x14ac:dyDescent="0.25">
      <c r="A101" s="370" t="s">
        <v>422</v>
      </c>
    </row>
    <row r="102" spans="1:1" hidden="1" x14ac:dyDescent="0.25">
      <c r="A102" s="370"/>
    </row>
    <row r="103" spans="1:1" hidden="1" x14ac:dyDescent="0.25">
      <c r="A103" s="372" t="s">
        <v>423</v>
      </c>
    </row>
    <row r="104" spans="1:1" hidden="1" x14ac:dyDescent="0.25">
      <c r="A104" s="373"/>
    </row>
    <row r="105" spans="1:1" x14ac:dyDescent="0.25">
      <c r="A105" s="374" t="s">
        <v>424</v>
      </c>
    </row>
    <row r="106" spans="1:1" x14ac:dyDescent="0.25">
      <c r="A106" s="232" t="s">
        <v>425</v>
      </c>
    </row>
    <row r="107" spans="1:1" x14ac:dyDescent="0.25">
      <c r="A107" s="232" t="s">
        <v>426</v>
      </c>
    </row>
    <row r="108" spans="1:1" x14ac:dyDescent="0.25">
      <c r="A108" s="232"/>
    </row>
    <row r="109" spans="1:1" x14ac:dyDescent="0.25">
      <c r="A109" s="232" t="s">
        <v>427</v>
      </c>
    </row>
    <row r="110" spans="1:1" x14ac:dyDescent="0.25">
      <c r="A110" s="232" t="s">
        <v>428</v>
      </c>
    </row>
    <row r="111" spans="1:1" x14ac:dyDescent="0.25">
      <c r="A111" s="232" t="s">
        <v>429</v>
      </c>
    </row>
    <row r="112" spans="1:1" x14ac:dyDescent="0.25">
      <c r="A112" s="232"/>
    </row>
    <row r="113" spans="1:1" x14ac:dyDescent="0.25">
      <c r="A113" s="232" t="s">
        <v>430</v>
      </c>
    </row>
    <row r="114" spans="1:1" x14ac:dyDescent="0.25">
      <c r="A114" s="232" t="s">
        <v>431</v>
      </c>
    </row>
    <row r="115" spans="1:1" x14ac:dyDescent="0.25">
      <c r="A115" s="232" t="s">
        <v>432</v>
      </c>
    </row>
  </sheetData>
  <sheetProtection algorithmName="SHA-512" hashValue="PBqVg7IY7yb3BbfMwuPHFIN8MhzqLa4esLTvuJgespEFGYCycDV0b9X9mpKUjablQnrG19q9bOj0xn7eLuS5cg==" saltValue="W9J8AvIDil5VpdYecfHOjA==" spinCount="100000" sheet="1" objects="1" scenarios="1"/>
  <pageMargins left="0.70866141732283472" right="0.70866141732283472" top="0.74803149606299213" bottom="0.74803149606299213" header="0.31496062992125984" footer="0.31496062992125984"/>
  <pageSetup paperSize="9" scale="28" orientation="landscape" r:id="rId1"/>
  <headerFooter>
    <oddFooter>&amp;C&amp;A&amp;R&amp;P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Geen vereenvoudigde kostenoptie</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6" t="s">
        <v>222</v>
      </c>
      <c r="E3" s="437"/>
      <c r="F3" s="437"/>
      <c r="G3" s="437"/>
      <c r="H3" s="437"/>
      <c r="I3" s="437"/>
      <c r="J3" s="437"/>
      <c r="K3" s="438"/>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ja</v>
      </c>
      <c r="W5" s="352">
        <f>IF(V5="ja",0.442*(1.15)+0.15,0.442)</f>
        <v>0.6583</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ja</v>
      </c>
      <c r="W6" s="352">
        <f t="shared" ref="W6:W54" si="7">IF(V6="ja",0.442*(1.15)+0.15,0.442)</f>
        <v>0.6583</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ja</v>
      </c>
      <c r="W7" s="352">
        <f t="shared" si="7"/>
        <v>0.6583</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ja</v>
      </c>
      <c r="W8" s="352">
        <f t="shared" si="7"/>
        <v>0.6583</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ja</v>
      </c>
      <c r="W9" s="352">
        <f t="shared" si="7"/>
        <v>0.6583</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ja</v>
      </c>
      <c r="W10" s="352">
        <f t="shared" si="7"/>
        <v>0.6583</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ja</v>
      </c>
      <c r="W11" s="352">
        <f t="shared" si="7"/>
        <v>0.6583</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ja</v>
      </c>
      <c r="W12" s="352">
        <f t="shared" si="7"/>
        <v>0.6583</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ja</v>
      </c>
      <c r="W13" s="352">
        <f t="shared" si="7"/>
        <v>0.6583</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ja</v>
      </c>
      <c r="W14" s="352">
        <f t="shared" si="7"/>
        <v>0.6583</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ja</v>
      </c>
      <c r="W15" s="352">
        <f t="shared" si="7"/>
        <v>0.6583</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ja</v>
      </c>
      <c r="W16" s="352">
        <f t="shared" si="7"/>
        <v>0.6583</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ja</v>
      </c>
      <c r="W17" s="352">
        <f t="shared" si="7"/>
        <v>0.6583</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ja</v>
      </c>
      <c r="W18" s="352">
        <f t="shared" si="7"/>
        <v>0.6583</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ja</v>
      </c>
      <c r="W19" s="352">
        <f t="shared" si="7"/>
        <v>0.6583</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ja</v>
      </c>
      <c r="W20" s="352">
        <f t="shared" si="7"/>
        <v>0.6583</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ja</v>
      </c>
      <c r="W21" s="352">
        <f t="shared" si="7"/>
        <v>0.6583</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ja</v>
      </c>
      <c r="W22" s="352">
        <f t="shared" si="7"/>
        <v>0.6583</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ja</v>
      </c>
      <c r="W23" s="352">
        <f t="shared" si="7"/>
        <v>0.6583</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ja</v>
      </c>
      <c r="W24" s="352">
        <f t="shared" si="7"/>
        <v>0.6583</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ja</v>
      </c>
      <c r="W25" s="352">
        <f t="shared" si="7"/>
        <v>0.6583</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ja</v>
      </c>
      <c r="W26" s="352">
        <f t="shared" si="7"/>
        <v>0.6583</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ja</v>
      </c>
      <c r="W27" s="352">
        <f t="shared" si="7"/>
        <v>0.6583</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ja</v>
      </c>
      <c r="W28" s="352">
        <f t="shared" si="7"/>
        <v>0.6583</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ja</v>
      </c>
      <c r="W29" s="352">
        <f t="shared" si="7"/>
        <v>0.6583</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ja</v>
      </c>
      <c r="W30" s="352">
        <f t="shared" si="7"/>
        <v>0.6583</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ja</v>
      </c>
      <c r="W31" s="352">
        <f t="shared" si="7"/>
        <v>0.6583</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ja</v>
      </c>
      <c r="W32" s="352">
        <f t="shared" si="7"/>
        <v>0.6583</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ja</v>
      </c>
      <c r="W33" s="352">
        <f t="shared" si="7"/>
        <v>0.6583</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ja</v>
      </c>
      <c r="W34" s="352">
        <f t="shared" si="7"/>
        <v>0.6583</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ja</v>
      </c>
      <c r="W35" s="352">
        <f t="shared" si="7"/>
        <v>0.6583</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ja</v>
      </c>
      <c r="W36" s="352">
        <f t="shared" si="7"/>
        <v>0.6583</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ja</v>
      </c>
      <c r="W37" s="352">
        <f t="shared" si="7"/>
        <v>0.6583</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ja</v>
      </c>
      <c r="W38" s="352">
        <f t="shared" si="7"/>
        <v>0.6583</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ja</v>
      </c>
      <c r="W39" s="352">
        <f t="shared" si="7"/>
        <v>0.6583</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ja</v>
      </c>
      <c r="W40" s="352">
        <f t="shared" si="7"/>
        <v>0.6583</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ja</v>
      </c>
      <c r="W41" s="352">
        <f t="shared" si="7"/>
        <v>0.6583</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ja</v>
      </c>
      <c r="W42" s="352">
        <f t="shared" si="7"/>
        <v>0.6583</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ja</v>
      </c>
      <c r="W43" s="352">
        <f t="shared" si="7"/>
        <v>0.6583</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ja</v>
      </c>
      <c r="W44" s="352">
        <f t="shared" si="7"/>
        <v>0.6583</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ja</v>
      </c>
      <c r="W45" s="352">
        <f t="shared" si="7"/>
        <v>0.6583</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ja</v>
      </c>
      <c r="W46" s="352">
        <f t="shared" si="7"/>
        <v>0.6583</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ja</v>
      </c>
      <c r="W47" s="352">
        <f t="shared" si="7"/>
        <v>0.6583</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ja</v>
      </c>
      <c r="W48" s="352">
        <f t="shared" si="7"/>
        <v>0.6583</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ja</v>
      </c>
      <c r="W49" s="352">
        <f t="shared" si="7"/>
        <v>0.6583</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ja</v>
      </c>
      <c r="W50" s="352">
        <f t="shared" si="7"/>
        <v>0.6583</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ja</v>
      </c>
      <c r="W51" s="352">
        <f t="shared" si="7"/>
        <v>0.6583</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ja</v>
      </c>
      <c r="W52" s="352">
        <f t="shared" si="7"/>
        <v>0.6583</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ja</v>
      </c>
      <c r="W53" s="352">
        <f t="shared" si="7"/>
        <v>0.6583</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ja</v>
      </c>
      <c r="W54" s="352">
        <f t="shared" si="7"/>
        <v>0.6583</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30"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view="pageBreakPreview" zoomScale="60" zoomScaleNormal="100" workbookViewId="0">
      <selection activeCell="K26" sqref="K26"/>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8" t="str">
        <f>IF('1. Aanvraaggegevens'!C2&lt;&gt;"",'1. Aanvraaggegevens'!C2,"")</f>
        <v>Samenwerken aan innovatie (EIP) Zeeland</v>
      </c>
      <c r="D2" s="449"/>
      <c r="E2" s="450"/>
    </row>
    <row r="3" spans="2:14" ht="15" customHeight="1" x14ac:dyDescent="0.25">
      <c r="B3" s="17" t="s">
        <v>16</v>
      </c>
      <c r="C3" s="451" t="str">
        <f>IF('1. Aanvraaggegevens'!C3&lt;&gt;"",'1. Aanvraaggegevens'!C3,"")</f>
        <v/>
      </c>
      <c r="D3" s="452"/>
      <c r="E3" s="453"/>
    </row>
    <row r="4" spans="2:14" ht="15" customHeight="1" x14ac:dyDescent="0.25">
      <c r="B4" s="17" t="s">
        <v>17</v>
      </c>
      <c r="C4" s="451" t="str">
        <f>IF('1. Aanvraaggegevens'!C4&lt;&gt;"",'1. Aanvraaggegevens'!C4,"")</f>
        <v/>
      </c>
      <c r="D4" s="452"/>
      <c r="E4" s="453"/>
    </row>
    <row r="5" spans="2:14" ht="15" customHeight="1" x14ac:dyDescent="0.25">
      <c r="B5" s="17" t="s">
        <v>18</v>
      </c>
      <c r="C5" s="451" t="str">
        <f>IF('1. Aanvraaggegevens'!C5&lt;&gt;"",'1. Aanvraaggegevens'!C5,"")</f>
        <v/>
      </c>
      <c r="D5" s="452"/>
      <c r="E5" s="453"/>
    </row>
    <row r="6" spans="2:14" ht="15" customHeight="1" x14ac:dyDescent="0.25">
      <c r="B6" s="5"/>
      <c r="C6" s="454" t="str">
        <f>IF('1. Aanvraaggegevens'!C6&lt;&gt;"",'1. Aanvraaggegevens'!C6,"")</f>
        <v/>
      </c>
      <c r="D6" s="455"/>
      <c r="E6" s="456"/>
    </row>
    <row r="7" spans="2:14" ht="3" customHeight="1" x14ac:dyDescent="0.25">
      <c r="B7" s="40"/>
      <c r="C7" s="40"/>
      <c r="D7" s="41"/>
      <c r="E7" s="26"/>
    </row>
    <row r="8" spans="2:14" ht="15" customHeight="1" x14ac:dyDescent="0.25">
      <c r="B8" s="151" t="s">
        <v>106</v>
      </c>
      <c r="C8" s="457" t="str">
        <f>IF('1. Aanvraaggegevens'!C8&lt;&gt;"",'1. Aanvraaggegevens'!C8,"")</f>
        <v>Geen vereenvoudigde kostenoptie</v>
      </c>
      <c r="D8" s="458"/>
      <c r="E8" s="459"/>
    </row>
    <row r="9" spans="2:14" ht="3" customHeight="1" x14ac:dyDescent="0.25">
      <c r="B9" s="40"/>
      <c r="C9" s="40"/>
      <c r="D9" s="41"/>
    </row>
    <row r="10" spans="2:14" ht="15" customHeight="1" x14ac:dyDescent="0.25">
      <c r="B10" s="75" t="s">
        <v>154</v>
      </c>
      <c r="C10" s="439"/>
      <c r="D10" s="440"/>
      <c r="E10" s="441"/>
    </row>
    <row r="11" spans="2:14" ht="15" customHeight="1" x14ac:dyDescent="0.25">
      <c r="B11" s="75" t="s">
        <v>225</v>
      </c>
      <c r="C11" s="442"/>
      <c r="D11" s="443"/>
      <c r="E11" s="444"/>
    </row>
    <row r="12" spans="2:14" ht="15" customHeight="1" x14ac:dyDescent="0.25">
      <c r="B12" s="75" t="s">
        <v>113</v>
      </c>
      <c r="C12" s="445"/>
      <c r="D12" s="446"/>
      <c r="E12" s="447"/>
    </row>
    <row r="13" spans="2:14" ht="15" customHeight="1" x14ac:dyDescent="0.25">
      <c r="B13" s="75" t="s">
        <v>105</v>
      </c>
      <c r="C13" s="442"/>
      <c r="D13" s="443"/>
      <c r="E13" s="444"/>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B20" ca="1">IFERROR(Posten_Uniek,"")</f>
        <v>Arbeidskosten</v>
      </c>
      <c r="C16" s="103">
        <f ca="1">IF(B16="","",SUMIFS('8. Uitgaven betaalverzoek'!U:U,'8.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t="str">
        <f ca="1"/>
        <v>Arbeidskosten op basis van IKS</v>
      </c>
      <c r="C17" s="103">
        <f ca="1">IF(B17="","",SUMIFS('8. Uitgaven betaalverzoek'!U:U,'8.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25">
      <c r="B18" s="6" t="str">
        <f ca="1"/>
        <v>Kosten derden exclusief btw</v>
      </c>
      <c r="C18" s="103">
        <f ca="1">IF(B18="","",SUMIFS('8. Uitgaven betaalverzoek'!U:U,'8.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25">
      <c r="B19" s="6" t="str">
        <f ca="1"/>
        <v>Grondkosten</v>
      </c>
      <c r="C19" s="103">
        <f ca="1">IF(B19="","",SUMIFS('8. Uitgaven betaalverzoek'!U:U,'8.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25">
      <c r="B20" s="6" t="str">
        <f ca="1"/>
        <v>Niet verrekenbare btw</v>
      </c>
      <c r="C20" s="103">
        <f ca="1">IF(B20="","",SUMIFS('8. Uitgaven betaalverzoek'!U:U,'8.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75" orientation="landscape" r:id="rId1"/>
  <headerFooter>
    <oddFooter>&amp;C&amp;A&amp;R&amp;P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8" t="str">
        <f>IF('1. Aanvraaggegevens'!C2&lt;&gt;"",'1. Aanvraaggegevens'!C2,"")</f>
        <v>Samenwerken aan innovatie (EIP) Zeeland</v>
      </c>
      <c r="D2" s="449"/>
      <c r="E2" s="450"/>
      <c r="F2" s="37"/>
      <c r="G2" s="37"/>
      <c r="H2" s="37"/>
      <c r="I2" s="37"/>
      <c r="J2" s="37"/>
      <c r="K2" s="37"/>
      <c r="L2" s="37"/>
      <c r="M2" s="37"/>
      <c r="N2" s="37"/>
      <c r="O2" s="37"/>
      <c r="P2" s="37"/>
      <c r="Q2" s="37"/>
      <c r="R2" s="37"/>
      <c r="S2" s="37"/>
    </row>
    <row r="3" spans="1:19" ht="15" customHeight="1" x14ac:dyDescent="0.25">
      <c r="A3" s="37"/>
      <c r="B3" s="17" t="s">
        <v>16</v>
      </c>
      <c r="C3" s="451" t="str">
        <f>IF('1. Aanvraaggegevens'!C3&lt;&gt;"",'1. Aanvraaggegevens'!C3,"")</f>
        <v/>
      </c>
      <c r="D3" s="452"/>
      <c r="E3" s="453"/>
      <c r="F3" s="37"/>
      <c r="G3" s="37"/>
      <c r="H3" s="37"/>
      <c r="I3" s="37"/>
      <c r="J3" s="37"/>
      <c r="K3" s="37"/>
      <c r="L3" s="37"/>
      <c r="M3" s="37"/>
      <c r="N3" s="37"/>
      <c r="O3" s="37"/>
      <c r="P3" s="37"/>
      <c r="Q3" s="37"/>
      <c r="R3" s="37"/>
      <c r="S3" s="37"/>
    </row>
    <row r="4" spans="1:19" ht="15" customHeight="1" x14ac:dyDescent="0.25">
      <c r="A4" s="37"/>
      <c r="B4" s="17" t="s">
        <v>17</v>
      </c>
      <c r="C4" s="451" t="str">
        <f>IF('1. Aanvraaggegevens'!C4&lt;&gt;"",'1. Aanvraaggegevens'!C4,"")</f>
        <v/>
      </c>
      <c r="D4" s="452"/>
      <c r="E4" s="453"/>
      <c r="F4" s="37"/>
      <c r="G4" s="37"/>
      <c r="H4" s="37"/>
      <c r="I4" s="37"/>
      <c r="J4" s="37"/>
      <c r="K4" s="37"/>
      <c r="L4" s="37"/>
      <c r="M4" s="37"/>
      <c r="N4" s="37"/>
      <c r="O4" s="37"/>
      <c r="P4" s="37"/>
      <c r="Q4" s="37"/>
      <c r="R4" s="37"/>
      <c r="S4" s="37"/>
    </row>
    <row r="5" spans="1:19" ht="15" customHeight="1" x14ac:dyDescent="0.25">
      <c r="A5" s="37"/>
      <c r="B5" s="17" t="s">
        <v>18</v>
      </c>
      <c r="C5" s="451" t="str">
        <f>IF('1. Aanvraaggegevens'!C5&lt;&gt;"",'1. Aanvraaggegevens'!C5,"")</f>
        <v/>
      </c>
      <c r="D5" s="452"/>
      <c r="E5" s="453"/>
      <c r="F5" s="37"/>
      <c r="G5" s="37"/>
      <c r="H5" s="37"/>
      <c r="I5" s="37"/>
      <c r="J5" s="37"/>
      <c r="K5" s="37"/>
      <c r="L5" s="37"/>
      <c r="M5" s="37"/>
      <c r="N5" s="37"/>
      <c r="O5" s="37"/>
      <c r="P5" s="37"/>
      <c r="Q5" s="37"/>
      <c r="R5" s="37"/>
      <c r="S5" s="37"/>
    </row>
    <row r="6" spans="1:19" ht="15" customHeight="1" x14ac:dyDescent="0.25">
      <c r="A6" s="37"/>
      <c r="B6" s="5"/>
      <c r="C6" s="454" t="str">
        <f>IF('1. Aanvraaggegevens'!C6&lt;&gt;"",'1. Aanvraaggegevens'!C6,"")</f>
        <v/>
      </c>
      <c r="D6" s="455"/>
      <c r="E6" s="456"/>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7" t="str">
        <f>IF('1. Aanvraaggegevens'!C8&lt;&gt;"",'1. Aanvraaggegevens'!C8,"")</f>
        <v>Geen vereenvoudigde kostenoptie</v>
      </c>
      <c r="D8" s="458"/>
      <c r="E8" s="459"/>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5" t="str">
        <f>IF(Keuze_DB_Nr="","",Keuze_DB_Nr)</f>
        <v/>
      </c>
      <c r="D10" s="466"/>
      <c r="E10" s="467"/>
      <c r="F10" s="37"/>
      <c r="G10" s="37"/>
      <c r="H10" s="37"/>
      <c r="I10" s="37"/>
      <c r="J10" s="37"/>
      <c r="K10" s="37"/>
      <c r="L10" s="37"/>
      <c r="M10" s="37"/>
      <c r="N10" s="37"/>
      <c r="O10" s="37"/>
      <c r="P10" s="37"/>
      <c r="Q10" s="37"/>
      <c r="R10" s="37"/>
      <c r="S10" s="37"/>
    </row>
    <row r="11" spans="1:19" ht="15" customHeight="1" x14ac:dyDescent="0.25">
      <c r="A11" s="37"/>
      <c r="B11" s="75" t="s">
        <v>118</v>
      </c>
      <c r="C11" s="468" t="str">
        <f>IF(Keuze_OntvangstDatum&lt;&gt;"",Keuze_OntvangstDatum,"")</f>
        <v/>
      </c>
      <c r="D11" s="469"/>
      <c r="E11" s="470"/>
      <c r="F11" s="37"/>
      <c r="G11" s="37"/>
      <c r="H11" s="37"/>
      <c r="I11" s="37"/>
      <c r="J11" s="37"/>
      <c r="K11" s="37"/>
      <c r="L11" s="37"/>
      <c r="M11" s="37"/>
      <c r="N11" s="37"/>
      <c r="O11" s="37"/>
      <c r="P11" s="37"/>
      <c r="Q11" s="37"/>
      <c r="R11" s="37"/>
      <c r="S11" s="37"/>
    </row>
    <row r="12" spans="1:19" ht="15" customHeight="1" x14ac:dyDescent="0.25">
      <c r="A12" s="37"/>
      <c r="B12" s="75" t="s">
        <v>113</v>
      </c>
      <c r="C12" s="468" t="str">
        <f>IF(Keuze_Zaak_Nr&lt;&gt;"",Keuze_Zaak_Nr,"")</f>
        <v/>
      </c>
      <c r="D12" s="469"/>
      <c r="E12" s="470"/>
      <c r="F12" s="37"/>
      <c r="G12" s="37"/>
      <c r="H12" s="37"/>
      <c r="I12" s="37"/>
      <c r="J12" s="37"/>
      <c r="K12" s="37"/>
      <c r="L12" s="37"/>
      <c r="M12" s="37"/>
      <c r="N12" s="37"/>
      <c r="O12" s="37"/>
      <c r="P12" s="37"/>
      <c r="Q12" s="37"/>
      <c r="R12" s="37"/>
      <c r="S12" s="37"/>
    </row>
    <row r="13" spans="1:19" ht="15" customHeight="1" x14ac:dyDescent="0.25">
      <c r="A13" s="37"/>
      <c r="B13" s="75" t="s">
        <v>105</v>
      </c>
      <c r="C13" s="468" t="str">
        <f>IF(Keuze_EindDatum&lt;&gt;"",Keuze_EindDatum,"")</f>
        <v/>
      </c>
      <c r="D13" s="469"/>
      <c r="E13" s="470"/>
      <c r="F13" s="37"/>
      <c r="G13" s="463" t="str">
        <f>"BEOORDELING BETAALVERZOEK "&amp; "("&amp;Keuze_DB_Nr_BEO&amp;")"</f>
        <v>BEOORDELING BETAALVERZOEK ()</v>
      </c>
      <c r="H13" s="464"/>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501</v>
      </c>
      <c r="D15" s="168" t="s">
        <v>346</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B20" ca="1">IFERROR(Posten_Uniek,"")</f>
        <v>Arbeidskosten</v>
      </c>
      <c r="C16" s="194">
        <f ca="1">IF(B16="","",SUMIF(Tb_ProjectKosten[Begroting],'6. Begrotingsoverzicht'!B11,Tb_ProjectKosten[Kosten_Beoordeeld]))</f>
        <v>0</v>
      </c>
      <c r="D16" s="194">
        <f ca="1">'Beoordeeld begrotingsoverzicht'!E11</f>
        <v>0</v>
      </c>
      <c r="E16" s="194">
        <f ca="1">IF(B16="","",SUMIFS('8. Uitgaven betaalverzoek'!U:U,'8. Uitgaven betaalverzoek'!F:F,B16,'8. Uitgaven betaalverzoek'!A:A,"&lt;&gt;"""))</f>
        <v>0</v>
      </c>
      <c r="F16" s="194">
        <f ca="1">IF(B16="","",SUMIFS('8. Uitgaven betaalverzoek'!V:V,'8. Uitgaven betaalverzoek'!F:F,B16,'8. Uitgaven betaalverzoek'!A:A,"&lt;&gt;"""))</f>
        <v>0</v>
      </c>
      <c r="G16" s="194">
        <f ca="1">IF(B16&lt;&gt;"",SUMIF(Tb_DBKostenBEO[],B16,Tb_DBKostenBEO[Deelbetaling_Aanvraag]),"")</f>
        <v>0</v>
      </c>
      <c r="H16" s="194">
        <f ca="1">IF(B16&lt;&gt;"",SUMIF(Tb_DBKostenBEO[],B16,Tb_DBKostenBEO[Deelbetaling_Beoordeeld]),"")</f>
        <v>0</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t="str">
        <f ca="1"/>
        <v>Arbeidskosten op basis van IKS</v>
      </c>
      <c r="C17" s="194">
        <f ca="1">IF(B17="","",SUMIF(Tb_ProjectKosten[Begroting],'6. Begrotingsoverzicht'!B12,Tb_ProjectKosten[Kosten_Beoordeeld]))</f>
        <v>0</v>
      </c>
      <c r="D17" s="194">
        <f ca="1">'Beoordeeld begrotingsoverzicht'!E12</f>
        <v>0</v>
      </c>
      <c r="E17" s="194">
        <f ca="1">IF(B17="","",SUMIFS('8. Uitgaven betaalverzoek'!U:U,'8. Uitgaven betaalverzoek'!F:F,B17,'8. Uitgaven betaalverzoek'!A:A,"&lt;&gt;"""))</f>
        <v>0</v>
      </c>
      <c r="F17" s="194">
        <f ca="1">IF(B17="","",SUMIFS('8. Uitgaven betaalverzoek'!V:V,'8. Uitgaven betaalverzoek'!F:F,B17,'8. Uitgaven betaalverzoek'!A:A,"&lt;&gt;"""))</f>
        <v>0</v>
      </c>
      <c r="G17" s="194">
        <f ca="1">IF(B17&lt;&gt;"",SUMIF(Tb_DBKostenBEO[],B17,Tb_DBKostenBEO[Deelbetaling_Aanvraag]),"")</f>
        <v>0</v>
      </c>
      <c r="H17" s="194">
        <f ca="1">IF(B17&lt;&gt;"",SUMIF(Tb_DBKostenBEO[],B17,Tb_DBKostenBEO[Deelbetaling_Beoordeeld]),"")</f>
        <v>0</v>
      </c>
      <c r="I17" s="194" t="str">
        <f ca="1">IF(AND($E17&lt;&gt;0,I$15&lt;&gt;"",$E17&lt;&gt;""),IF($C$10&lt;&gt;"",SUMIFS(SubsidieTabel_DB!$S:$S,SubsidieTabel_DB!$A:$A,I$15,SubsidieTabel_DB!$B:$B,$B17),SUMIFS(SubsidieTabel_DB!$F:$F,SubsidieTabel_DB!$A:$A,I$15,SubsidieTabel_DB!$B:$B,$B17)),"")</f>
        <v/>
      </c>
      <c r="J17" s="194" t="str">
        <f ca="1">IF(AND($E17&lt;&gt;0,J$15&lt;&gt;"",$E17&lt;&gt;""),IF($C$10&lt;&gt;"",SUMIFS(SubsidieTabel_DB!$S:$S,SubsidieTabel_DB!$A:$A,J$15,SubsidieTabel_DB!$B:$B,$B17),SUMIFS(SubsidieTabel_DB!$F:$F,SubsidieTabel_DB!$A:$A,J$15,SubsidieTabel_DB!$B:$B,$B17)),"")</f>
        <v/>
      </c>
      <c r="K17" s="194" t="str">
        <f ca="1">IF(AND($E17&lt;&gt;0,K$15&lt;&gt;"",$E17&lt;&gt;""),IF($C$10&lt;&gt;"",SUMIFS(SubsidieTabel_DB!$S:$S,SubsidieTabel_DB!$A:$A,K$15,SubsidieTabel_DB!$B:$B,$B17),SUMIFS(SubsidieTabel_DB!$F:$F,SubsidieTabel_DB!$A:$A,K$15,SubsidieTabel_DB!$B:$B,$B17)),"")</f>
        <v/>
      </c>
      <c r="L17" s="194" t="str">
        <f ca="1">IF(AND($E17&lt;&gt;0,L$15&lt;&gt;"",$E17&lt;&gt;""),IF($C$10&lt;&gt;"",SUMIFS(SubsidieTabel_DB!$S:$S,SubsidieTabel_DB!$A:$A,L$15,SubsidieTabel_DB!$B:$B,$B17),SUMIFS(SubsidieTabel_DB!$F:$F,SubsidieTabel_DB!$A:$A,L$15,SubsidieTabel_DB!$B:$B,$B17)),"")</f>
        <v/>
      </c>
      <c r="M17" s="194" t="str">
        <f ca="1">IF(AND($E17&lt;&gt;0,M$15&lt;&gt;"",$E17&lt;&gt;""),IF($C$10&lt;&gt;"",SUMIFS(SubsidieTabel_DB!$S:$S,SubsidieTabel_DB!$A:$A,M$15,SubsidieTabel_DB!$B:$B,$B17),SUMIFS(SubsidieTabel_DB!$F:$F,SubsidieTabel_DB!$A:$A,M$15,SubsidieTabel_DB!$B:$B,$B17)),"")</f>
        <v/>
      </c>
      <c r="N17" s="194" t="str">
        <f ca="1">IF(AND($E17&lt;&gt;0,N$15&lt;&gt;"",$E17&lt;&gt;""),IF($C$10&lt;&gt;"",SUMIFS(SubsidieTabel_DB!$S:$S,SubsidieTabel_DB!$A:$A,N$15,SubsidieTabel_DB!$B:$B,$B17),SUMIFS(SubsidieTabel_DB!$F:$F,SubsidieTabel_DB!$A:$A,N$15,SubsidieTabel_DB!$B:$B,$B17)),"")</f>
        <v/>
      </c>
      <c r="O17" s="194" t="str">
        <f ca="1">IF(AND($E17&lt;&gt;0,O$15&lt;&gt;"",$E17&lt;&gt;""),IF($C$10&lt;&gt;"",SUMIFS(SubsidieTabel_DB!$S:$S,SubsidieTabel_DB!$A:$A,O$15,SubsidieTabel_DB!$B:$B,$B17),SUMIFS(SubsidieTabel_DB!$F:$F,SubsidieTabel_DB!$A:$A,O$15,SubsidieTabel_DB!$B:$B,$B17)),"")</f>
        <v/>
      </c>
      <c r="P17" s="194" t="str">
        <f ca="1">IF(AND($E17&lt;&gt;0,P$15&lt;&gt;"",$E17&lt;&gt;""),IF($C$10&lt;&gt;"",SUMIFS(SubsidieTabel_DB!$S:$S,SubsidieTabel_DB!$A:$A,P$15,SubsidieTabel_DB!$B:$B,$B17),SUMIFS(SubsidieTabel_DB!$F:$F,SubsidieTabel_DB!$A:$A,P$15,SubsidieTabel_DB!$B:$B,$B17)),"")</f>
        <v/>
      </c>
      <c r="Q17" s="194" t="str">
        <f ca="1">IF(AND($E17&lt;&gt;0,Q$15&lt;&gt;"",$E17&lt;&gt;""),IF($C$10&lt;&gt;"",SUMIFS(SubsidieTabel_DB!$S:$S,SubsidieTabel_DB!$A:$A,Q$15,SubsidieTabel_DB!$B:$B,$B17),SUMIFS(SubsidieTabel_DB!$F:$F,SubsidieTabel_DB!$A:$A,Q$15,SubsidieTabel_DB!$B:$B,$B17)),"")</f>
        <v/>
      </c>
      <c r="R17" s="194" t="str">
        <f ca="1">IF(AND($E17&lt;&gt;0,R$15&lt;&gt;"",$E17&lt;&gt;""),IF($C$10&lt;&gt;"",SUMIFS(SubsidieTabel_DB!$S:$S,SubsidieTabel_DB!$A:$A,R$15,SubsidieTabel_DB!$B:$B,$B17),SUMIFS(SubsidieTabel_DB!$F:$F,SubsidieTabel_DB!$A:$A,R$15,SubsidieTabel_DB!$B:$B,$B17)),"")</f>
        <v/>
      </c>
      <c r="S17" s="194"/>
    </row>
    <row r="18" spans="1:19" ht="15" customHeight="1" x14ac:dyDescent="0.25">
      <c r="A18" s="37"/>
      <c r="B18" s="6" t="str">
        <f ca="1"/>
        <v>Kosten derden exclusief btw</v>
      </c>
      <c r="C18" s="194">
        <f ca="1">IF(B18="","",SUMIF(Tb_ProjectKosten[Begroting],'6. Begrotingsoverzicht'!B13,Tb_ProjectKosten[Kosten_Beoordeeld]))</f>
        <v>0</v>
      </c>
      <c r="D18" s="194">
        <f ca="1">'Beoordeeld begrotingsoverzicht'!E13</f>
        <v>0</v>
      </c>
      <c r="E18" s="194">
        <f ca="1">IF(B18="","",SUMIFS('8. Uitgaven betaalverzoek'!U:U,'8. Uitgaven betaalverzoek'!F:F,B18,'8. Uitgaven betaalverzoek'!A:A,"&lt;&gt;"""))</f>
        <v>0</v>
      </c>
      <c r="F18" s="194">
        <f ca="1">IF(B18="","",SUMIFS('8. Uitgaven betaalverzoek'!V:V,'8. Uitgaven betaalverzoek'!F:F,B18,'8. Uitgaven betaalverzoek'!A:A,"&lt;&gt;"""))</f>
        <v>0</v>
      </c>
      <c r="G18" s="194">
        <f ca="1">IF(B18&lt;&gt;"",SUMIF(Tb_DBKostenBEO[],B18,Tb_DBKostenBEO[Deelbetaling_Aanvraag]),"")</f>
        <v>0</v>
      </c>
      <c r="H18" s="194">
        <f ca="1">IF(B18&lt;&gt;"",SUMIF(Tb_DBKostenBEO[],B18,Tb_DBKostenBEO[Deelbetaling_Beoordeeld]),"")</f>
        <v>0</v>
      </c>
      <c r="I18" s="194" t="str">
        <f ca="1">IF(AND($E18&lt;&gt;0,I$15&lt;&gt;"",$E18&lt;&gt;""),IF($C$10&lt;&gt;"",SUMIFS(SubsidieTabel_DB!$S:$S,SubsidieTabel_DB!$A:$A,I$15,SubsidieTabel_DB!$B:$B,$B18),SUMIFS(SubsidieTabel_DB!$F:$F,SubsidieTabel_DB!$A:$A,I$15,SubsidieTabel_DB!$B:$B,$B18)),"")</f>
        <v/>
      </c>
      <c r="J18" s="194" t="str">
        <f ca="1">IF(AND($E18&lt;&gt;0,J$15&lt;&gt;"",$E18&lt;&gt;""),IF($C$10&lt;&gt;"",SUMIFS(SubsidieTabel_DB!$S:$S,SubsidieTabel_DB!$A:$A,J$15,SubsidieTabel_DB!$B:$B,$B18),SUMIFS(SubsidieTabel_DB!$F:$F,SubsidieTabel_DB!$A:$A,J$15,SubsidieTabel_DB!$B:$B,$B18)),"")</f>
        <v/>
      </c>
      <c r="K18" s="194" t="str">
        <f ca="1">IF(AND($E18&lt;&gt;0,K$15&lt;&gt;"",$E18&lt;&gt;""),IF($C$10&lt;&gt;"",SUMIFS(SubsidieTabel_DB!$S:$S,SubsidieTabel_DB!$A:$A,K$15,SubsidieTabel_DB!$B:$B,$B18),SUMIFS(SubsidieTabel_DB!$F:$F,SubsidieTabel_DB!$A:$A,K$15,SubsidieTabel_DB!$B:$B,$B18)),"")</f>
        <v/>
      </c>
      <c r="L18" s="194" t="str">
        <f ca="1">IF(AND($E18&lt;&gt;0,L$15&lt;&gt;"",$E18&lt;&gt;""),IF($C$10&lt;&gt;"",SUMIFS(SubsidieTabel_DB!$S:$S,SubsidieTabel_DB!$A:$A,L$15,SubsidieTabel_DB!$B:$B,$B18),SUMIFS(SubsidieTabel_DB!$F:$F,SubsidieTabel_DB!$A:$A,L$15,SubsidieTabel_DB!$B:$B,$B18)),"")</f>
        <v/>
      </c>
      <c r="M18" s="194" t="str">
        <f ca="1">IF(AND($E18&lt;&gt;0,M$15&lt;&gt;"",$E18&lt;&gt;""),IF($C$10&lt;&gt;"",SUMIFS(SubsidieTabel_DB!$S:$S,SubsidieTabel_DB!$A:$A,M$15,SubsidieTabel_DB!$B:$B,$B18),SUMIFS(SubsidieTabel_DB!$F:$F,SubsidieTabel_DB!$A:$A,M$15,SubsidieTabel_DB!$B:$B,$B18)),"")</f>
        <v/>
      </c>
      <c r="N18" s="194" t="str">
        <f ca="1">IF(AND($E18&lt;&gt;0,N$15&lt;&gt;"",$E18&lt;&gt;""),IF($C$10&lt;&gt;"",SUMIFS(SubsidieTabel_DB!$S:$S,SubsidieTabel_DB!$A:$A,N$15,SubsidieTabel_DB!$B:$B,$B18),SUMIFS(SubsidieTabel_DB!$F:$F,SubsidieTabel_DB!$A:$A,N$15,SubsidieTabel_DB!$B:$B,$B18)),"")</f>
        <v/>
      </c>
      <c r="O18" s="194" t="str">
        <f ca="1">IF(AND($E18&lt;&gt;0,O$15&lt;&gt;"",$E18&lt;&gt;""),IF($C$10&lt;&gt;"",SUMIFS(SubsidieTabel_DB!$S:$S,SubsidieTabel_DB!$A:$A,O$15,SubsidieTabel_DB!$B:$B,$B18),SUMIFS(SubsidieTabel_DB!$F:$F,SubsidieTabel_DB!$A:$A,O$15,SubsidieTabel_DB!$B:$B,$B18)),"")</f>
        <v/>
      </c>
      <c r="P18" s="194" t="str">
        <f ca="1">IF(AND($E18&lt;&gt;0,P$15&lt;&gt;"",$E18&lt;&gt;""),IF($C$10&lt;&gt;"",SUMIFS(SubsidieTabel_DB!$S:$S,SubsidieTabel_DB!$A:$A,P$15,SubsidieTabel_DB!$B:$B,$B18),SUMIFS(SubsidieTabel_DB!$F:$F,SubsidieTabel_DB!$A:$A,P$15,SubsidieTabel_DB!$B:$B,$B18)),"")</f>
        <v/>
      </c>
      <c r="Q18" s="194" t="str">
        <f ca="1">IF(AND($E18&lt;&gt;0,Q$15&lt;&gt;"",$E18&lt;&gt;""),IF($C$10&lt;&gt;"",SUMIFS(SubsidieTabel_DB!$S:$S,SubsidieTabel_DB!$A:$A,Q$15,SubsidieTabel_DB!$B:$B,$B18),SUMIFS(SubsidieTabel_DB!$F:$F,SubsidieTabel_DB!$A:$A,Q$15,SubsidieTabel_DB!$B:$B,$B18)),"")</f>
        <v/>
      </c>
      <c r="R18" s="194" t="str">
        <f ca="1">IF(AND($E18&lt;&gt;0,R$15&lt;&gt;"",$E18&lt;&gt;""),IF($C$10&lt;&gt;"",SUMIFS(SubsidieTabel_DB!$S:$S,SubsidieTabel_DB!$A:$A,R$15,SubsidieTabel_DB!$B:$B,$B18),SUMIFS(SubsidieTabel_DB!$F:$F,SubsidieTabel_DB!$A:$A,R$15,SubsidieTabel_DB!$B:$B,$B18)),"")</f>
        <v/>
      </c>
      <c r="S18" s="194"/>
    </row>
    <row r="19" spans="1:19" ht="15" customHeight="1" x14ac:dyDescent="0.25">
      <c r="A19" s="37"/>
      <c r="B19" s="6" t="str">
        <f ca="1"/>
        <v>Grondkosten</v>
      </c>
      <c r="C19" s="194">
        <f ca="1">IF(B19="","",SUMIF(Tb_ProjectKosten[Begroting],'6. Begrotingsoverzicht'!B14,Tb_ProjectKosten[Kosten_Beoordeeld]))</f>
        <v>0</v>
      </c>
      <c r="D19" s="194">
        <f ca="1">'Beoordeeld begrotingsoverzicht'!E14</f>
        <v>0</v>
      </c>
      <c r="E19" s="194">
        <f ca="1">IF(B19="","",SUMIFS('8. Uitgaven betaalverzoek'!U:U,'8. Uitgaven betaalverzoek'!F:F,B19,'8. Uitgaven betaalverzoek'!A:A,"&lt;&gt;"""))</f>
        <v>0</v>
      </c>
      <c r="F19" s="194">
        <f ca="1">IF(B19="","",SUMIFS('8. Uitgaven betaalverzoek'!V:V,'8. Uitgaven betaalverzoek'!F:F,B19,'8. Uitgaven betaalverzoek'!A:A,"&lt;&gt;"""))</f>
        <v>0</v>
      </c>
      <c r="G19" s="194">
        <f ca="1">IF(B19&lt;&gt;"",SUMIF(Tb_DBKostenBEO[],B19,Tb_DBKostenBEO[Deelbetaling_Aanvraag]),"")</f>
        <v>0</v>
      </c>
      <c r="H19" s="194">
        <f ca="1">IF(B19&lt;&gt;"",SUMIF(Tb_DBKostenBEO[],B19,Tb_DBKostenBEO[Deelbetaling_Beoordeeld]),"")</f>
        <v>0</v>
      </c>
      <c r="I19" s="194" t="str">
        <f ca="1">IF(AND($E19&lt;&gt;0,I$15&lt;&gt;"",$E19&lt;&gt;""),IF($C$10&lt;&gt;"",SUMIFS(SubsidieTabel_DB!$S:$S,SubsidieTabel_DB!$A:$A,I$15,SubsidieTabel_DB!$B:$B,$B19),SUMIFS(SubsidieTabel_DB!$F:$F,SubsidieTabel_DB!$A:$A,I$15,SubsidieTabel_DB!$B:$B,$B19)),"")</f>
        <v/>
      </c>
      <c r="J19" s="194" t="str">
        <f ca="1">IF(AND($E19&lt;&gt;0,J$15&lt;&gt;"",$E19&lt;&gt;""),IF($C$10&lt;&gt;"",SUMIFS(SubsidieTabel_DB!$S:$S,SubsidieTabel_DB!$A:$A,J$15,SubsidieTabel_DB!$B:$B,$B19),SUMIFS(SubsidieTabel_DB!$F:$F,SubsidieTabel_DB!$A:$A,J$15,SubsidieTabel_DB!$B:$B,$B19)),"")</f>
        <v/>
      </c>
      <c r="K19" s="194" t="str">
        <f ca="1">IF(AND($E19&lt;&gt;0,K$15&lt;&gt;"",$E19&lt;&gt;""),IF($C$10&lt;&gt;"",SUMIFS(SubsidieTabel_DB!$S:$S,SubsidieTabel_DB!$A:$A,K$15,SubsidieTabel_DB!$B:$B,$B19),SUMIFS(SubsidieTabel_DB!$F:$F,SubsidieTabel_DB!$A:$A,K$15,SubsidieTabel_DB!$B:$B,$B19)),"")</f>
        <v/>
      </c>
      <c r="L19" s="194" t="str">
        <f ca="1">IF(AND($E19&lt;&gt;0,L$15&lt;&gt;"",$E19&lt;&gt;""),IF($C$10&lt;&gt;"",SUMIFS(SubsidieTabel_DB!$S:$S,SubsidieTabel_DB!$A:$A,L$15,SubsidieTabel_DB!$B:$B,$B19),SUMIFS(SubsidieTabel_DB!$F:$F,SubsidieTabel_DB!$A:$A,L$15,SubsidieTabel_DB!$B:$B,$B19)),"")</f>
        <v/>
      </c>
      <c r="M19" s="194" t="str">
        <f ca="1">IF(AND($E19&lt;&gt;0,M$15&lt;&gt;"",$E19&lt;&gt;""),IF($C$10&lt;&gt;"",SUMIFS(SubsidieTabel_DB!$S:$S,SubsidieTabel_DB!$A:$A,M$15,SubsidieTabel_DB!$B:$B,$B19),SUMIFS(SubsidieTabel_DB!$F:$F,SubsidieTabel_DB!$A:$A,M$15,SubsidieTabel_DB!$B:$B,$B19)),"")</f>
        <v/>
      </c>
      <c r="N19" s="194" t="str">
        <f ca="1">IF(AND($E19&lt;&gt;0,N$15&lt;&gt;"",$E19&lt;&gt;""),IF($C$10&lt;&gt;"",SUMIFS(SubsidieTabel_DB!$S:$S,SubsidieTabel_DB!$A:$A,N$15,SubsidieTabel_DB!$B:$B,$B19),SUMIFS(SubsidieTabel_DB!$F:$F,SubsidieTabel_DB!$A:$A,N$15,SubsidieTabel_DB!$B:$B,$B19)),"")</f>
        <v/>
      </c>
      <c r="O19" s="194" t="str">
        <f ca="1">IF(AND($E19&lt;&gt;0,O$15&lt;&gt;"",$E19&lt;&gt;""),IF($C$10&lt;&gt;"",SUMIFS(SubsidieTabel_DB!$S:$S,SubsidieTabel_DB!$A:$A,O$15,SubsidieTabel_DB!$B:$B,$B19),SUMIFS(SubsidieTabel_DB!$F:$F,SubsidieTabel_DB!$A:$A,O$15,SubsidieTabel_DB!$B:$B,$B19)),"")</f>
        <v/>
      </c>
      <c r="P19" s="194" t="str">
        <f ca="1">IF(AND($E19&lt;&gt;0,P$15&lt;&gt;"",$E19&lt;&gt;""),IF($C$10&lt;&gt;"",SUMIFS(SubsidieTabel_DB!$S:$S,SubsidieTabel_DB!$A:$A,P$15,SubsidieTabel_DB!$B:$B,$B19),SUMIFS(SubsidieTabel_DB!$F:$F,SubsidieTabel_DB!$A:$A,P$15,SubsidieTabel_DB!$B:$B,$B19)),"")</f>
        <v/>
      </c>
      <c r="Q19" s="194" t="str">
        <f ca="1">IF(AND($E19&lt;&gt;0,Q$15&lt;&gt;"",$E19&lt;&gt;""),IF($C$10&lt;&gt;"",SUMIFS(SubsidieTabel_DB!$S:$S,SubsidieTabel_DB!$A:$A,Q$15,SubsidieTabel_DB!$B:$B,$B19),SUMIFS(SubsidieTabel_DB!$F:$F,SubsidieTabel_DB!$A:$A,Q$15,SubsidieTabel_DB!$B:$B,$B19)),"")</f>
        <v/>
      </c>
      <c r="R19" s="194" t="str">
        <f ca="1">IF(AND($E19&lt;&gt;0,R$15&lt;&gt;"",$E19&lt;&gt;""),IF($C$10&lt;&gt;"",SUMIFS(SubsidieTabel_DB!$S:$S,SubsidieTabel_DB!$A:$A,R$15,SubsidieTabel_DB!$B:$B,$B19),SUMIFS(SubsidieTabel_DB!$F:$F,SubsidieTabel_DB!$A:$A,R$15,SubsidieTabel_DB!$B:$B,$B19)),"")</f>
        <v/>
      </c>
      <c r="S19" s="194"/>
    </row>
    <row r="20" spans="1:19" ht="15" customHeight="1" x14ac:dyDescent="0.25">
      <c r="A20" s="37"/>
      <c r="B20" s="6" t="str">
        <f ca="1"/>
        <v>Niet verrekenbare btw</v>
      </c>
      <c r="C20" s="194">
        <f ca="1">IF(B20="","",SUMIF(Tb_ProjectKosten[Begroting],'6. Begrotingsoverzicht'!B15,Tb_ProjectKosten[Kosten_Beoordeeld]))</f>
        <v>0</v>
      </c>
      <c r="D20" s="194">
        <f ca="1">'Beoordeeld begrotingsoverzicht'!E15</f>
        <v>0</v>
      </c>
      <c r="E20" s="194">
        <f ca="1">IF(B20="","",SUMIFS('8. Uitgaven betaalverzoek'!U:U,'8. Uitgaven betaalverzoek'!F:F,B20,'8. Uitgaven betaalverzoek'!A:A,"&lt;&gt;"""))</f>
        <v>0</v>
      </c>
      <c r="F20" s="194">
        <f ca="1">IF(B20="","",SUMIFS('8. Uitgaven betaalverzoek'!V:V,'8. Uitgaven betaalverzoek'!F:F,B20,'8. Uitgaven betaalverzoek'!A:A,"&lt;&gt;"""))</f>
        <v>0</v>
      </c>
      <c r="G20" s="194">
        <f ca="1">IF(B20&lt;&gt;"",SUMIF(Tb_DBKostenBEO[],B20,Tb_DBKostenBEO[Deelbetaling_Aanvraag]),"")</f>
        <v>0</v>
      </c>
      <c r="H20" s="194">
        <f ca="1">IF(B20&lt;&gt;"",SUMIF(Tb_DBKostenBEO[],B20,Tb_DBKostenBEO[Deelbetaling_Beoordeeld]),"")</f>
        <v>0</v>
      </c>
      <c r="I20" s="194" t="str">
        <f ca="1">IF(AND($E20&lt;&gt;0,I$15&lt;&gt;"",$E20&lt;&gt;""),IF($C$10&lt;&gt;"",SUMIFS(SubsidieTabel_DB!$S:$S,SubsidieTabel_DB!$A:$A,I$15,SubsidieTabel_DB!$B:$B,$B20),SUMIFS(SubsidieTabel_DB!$F:$F,SubsidieTabel_DB!$A:$A,I$15,SubsidieTabel_DB!$B:$B,$B20)),"")</f>
        <v/>
      </c>
      <c r="J20" s="194" t="str">
        <f ca="1">IF(AND($E20&lt;&gt;0,J$15&lt;&gt;"",$E20&lt;&gt;""),IF($C$10&lt;&gt;"",SUMIFS(SubsidieTabel_DB!$S:$S,SubsidieTabel_DB!$A:$A,J$15,SubsidieTabel_DB!$B:$B,$B20),SUMIFS(SubsidieTabel_DB!$F:$F,SubsidieTabel_DB!$A:$A,J$15,SubsidieTabel_DB!$B:$B,$B20)),"")</f>
        <v/>
      </c>
      <c r="K20" s="194" t="str">
        <f ca="1">IF(AND($E20&lt;&gt;0,K$15&lt;&gt;"",$E20&lt;&gt;""),IF($C$10&lt;&gt;"",SUMIFS(SubsidieTabel_DB!$S:$S,SubsidieTabel_DB!$A:$A,K$15,SubsidieTabel_DB!$B:$B,$B20),SUMIFS(SubsidieTabel_DB!$F:$F,SubsidieTabel_DB!$A:$A,K$15,SubsidieTabel_DB!$B:$B,$B20)),"")</f>
        <v/>
      </c>
      <c r="L20" s="194" t="str">
        <f ca="1">IF(AND($E20&lt;&gt;0,L$15&lt;&gt;"",$E20&lt;&gt;""),IF($C$10&lt;&gt;"",SUMIFS(SubsidieTabel_DB!$S:$S,SubsidieTabel_DB!$A:$A,L$15,SubsidieTabel_DB!$B:$B,$B20),SUMIFS(SubsidieTabel_DB!$F:$F,SubsidieTabel_DB!$A:$A,L$15,SubsidieTabel_DB!$B:$B,$B20)),"")</f>
        <v/>
      </c>
      <c r="M20" s="194" t="str">
        <f ca="1">IF(AND($E20&lt;&gt;0,M$15&lt;&gt;"",$E20&lt;&gt;""),IF($C$10&lt;&gt;"",SUMIFS(SubsidieTabel_DB!$S:$S,SubsidieTabel_DB!$A:$A,M$15,SubsidieTabel_DB!$B:$B,$B20),SUMIFS(SubsidieTabel_DB!$F:$F,SubsidieTabel_DB!$A:$A,M$15,SubsidieTabel_DB!$B:$B,$B20)),"")</f>
        <v/>
      </c>
      <c r="N20" s="194" t="str">
        <f ca="1">IF(AND($E20&lt;&gt;0,N$15&lt;&gt;"",$E20&lt;&gt;""),IF($C$10&lt;&gt;"",SUMIFS(SubsidieTabel_DB!$S:$S,SubsidieTabel_DB!$A:$A,N$15,SubsidieTabel_DB!$B:$B,$B20),SUMIFS(SubsidieTabel_DB!$F:$F,SubsidieTabel_DB!$A:$A,N$15,SubsidieTabel_DB!$B:$B,$B20)),"")</f>
        <v/>
      </c>
      <c r="O20" s="194" t="str">
        <f ca="1">IF(AND($E20&lt;&gt;0,O$15&lt;&gt;"",$E20&lt;&gt;""),IF($C$10&lt;&gt;"",SUMIFS(SubsidieTabel_DB!$S:$S,SubsidieTabel_DB!$A:$A,O$15,SubsidieTabel_DB!$B:$B,$B20),SUMIFS(SubsidieTabel_DB!$F:$F,SubsidieTabel_DB!$A:$A,O$15,SubsidieTabel_DB!$B:$B,$B20)),"")</f>
        <v/>
      </c>
      <c r="P20" s="194" t="str">
        <f ca="1">IF(AND($E20&lt;&gt;0,P$15&lt;&gt;"",$E20&lt;&gt;""),IF($C$10&lt;&gt;"",SUMIFS(SubsidieTabel_DB!$S:$S,SubsidieTabel_DB!$A:$A,P$15,SubsidieTabel_DB!$B:$B,$B20),SUMIFS(SubsidieTabel_DB!$F:$F,SubsidieTabel_DB!$A:$A,P$15,SubsidieTabel_DB!$B:$B,$B20)),"")</f>
        <v/>
      </c>
      <c r="Q20" s="194" t="str">
        <f ca="1">IF(AND($E20&lt;&gt;0,Q$15&lt;&gt;"",$E20&lt;&gt;""),IF($C$10&lt;&gt;"",SUMIFS(SubsidieTabel_DB!$S:$S,SubsidieTabel_DB!$A:$A,Q$15,SubsidieTabel_DB!$B:$B,$B20),SUMIFS(SubsidieTabel_DB!$F:$F,SubsidieTabel_DB!$A:$A,Q$15,SubsidieTabel_DB!$B:$B,$B20)),"")</f>
        <v/>
      </c>
      <c r="R20" s="194" t="str">
        <f ca="1">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60" t="str">
        <f>"TOTALE BEOORDEELDE UITGAVEN AANGEVRAAGD BETAALVERZOEK ("&amp;Keuze_DB_Nr&amp;")"</f>
        <v>TOTALE BEOORDEELDE UITGAVEN AANGEVRAAGD BETAALVERZOEK ()</v>
      </c>
      <c r="C33" s="461"/>
      <c r="D33" s="461"/>
      <c r="E33" s="462"/>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60" t="s">
        <v>234</v>
      </c>
      <c r="C48" s="461"/>
      <c r="D48" s="461"/>
      <c r="E48" s="462"/>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A9" sqref="AA9"/>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373</v>
      </c>
      <c r="M1" s="221" t="s">
        <v>374</v>
      </c>
    </row>
    <row r="2" spans="1:53" ht="3" customHeight="1" x14ac:dyDescent="0.25"/>
    <row r="3" spans="1:53" ht="60" x14ac:dyDescent="0.25">
      <c r="A3" s="25" t="s">
        <v>81</v>
      </c>
      <c r="B3" s="242" t="s">
        <v>76</v>
      </c>
      <c r="C3" s="25" t="s">
        <v>191</v>
      </c>
      <c r="D3" s="25" t="s">
        <v>159</v>
      </c>
      <c r="E3" s="25" t="s">
        <v>160</v>
      </c>
      <c r="F3" s="25" t="s">
        <v>74</v>
      </c>
      <c r="G3" s="25" t="s">
        <v>75</v>
      </c>
      <c r="H3" s="26" t="s">
        <v>349</v>
      </c>
      <c r="I3" s="296" t="s">
        <v>355</v>
      </c>
      <c r="J3" s="296" t="s">
        <v>352</v>
      </c>
      <c r="K3" s="296" t="s">
        <v>353</v>
      </c>
      <c r="M3" s="133" t="s">
        <v>81</v>
      </c>
      <c r="N3" s="133" t="s">
        <v>229</v>
      </c>
      <c r="O3" s="133" t="s">
        <v>255</v>
      </c>
      <c r="P3" s="222" t="s">
        <v>8</v>
      </c>
      <c r="Q3" s="241" t="s">
        <v>83</v>
      </c>
      <c r="R3" s="240" t="s">
        <v>28</v>
      </c>
      <c r="S3" s="240" t="s">
        <v>27</v>
      </c>
      <c r="T3" s="240" t="s">
        <v>11</v>
      </c>
      <c r="U3" s="240" t="s">
        <v>97</v>
      </c>
      <c r="V3" s="240" t="s">
        <v>96</v>
      </c>
      <c r="W3" s="240" t="s">
        <v>3</v>
      </c>
      <c r="X3" s="240" t="s">
        <v>310</v>
      </c>
      <c r="Y3" s="279" t="s">
        <v>320</v>
      </c>
      <c r="Z3" s="240" t="s">
        <v>50</v>
      </c>
      <c r="AA3" s="222" t="s">
        <v>7</v>
      </c>
      <c r="AB3" s="222" t="s">
        <v>5</v>
      </c>
      <c r="AC3" s="279" t="s">
        <v>52</v>
      </c>
      <c r="AD3" s="279" t="s">
        <v>243</v>
      </c>
      <c r="AE3" s="279" t="s">
        <v>53</v>
      </c>
      <c r="AF3" s="279" t="s">
        <v>43</v>
      </c>
      <c r="AG3" s="284" t="s">
        <v>356</v>
      </c>
      <c r="AH3" s="284" t="s">
        <v>350</v>
      </c>
      <c r="AI3" s="284" t="s">
        <v>351</v>
      </c>
      <c r="AJ3" s="284" t="s">
        <v>354</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9" t="s">
        <v>308</v>
      </c>
      <c r="BA3" s="133" t="s">
        <v>309</v>
      </c>
    </row>
    <row r="4" spans="1:53" x14ac:dyDescent="0.25">
      <c r="A4" s="236" t="s">
        <v>507</v>
      </c>
      <c r="B4">
        <v>1</v>
      </c>
      <c r="C4">
        <v>1</v>
      </c>
      <c r="D4">
        <v>1</v>
      </c>
      <c r="E4">
        <v>1</v>
      </c>
      <c r="F4" s="64">
        <v>50000</v>
      </c>
      <c r="G4" s="64">
        <v>400000</v>
      </c>
      <c r="H4" s="283">
        <v>0.1</v>
      </c>
      <c r="I4" s="283"/>
      <c r="J4" s="283"/>
      <c r="K4" s="283"/>
      <c r="M4" s="236" t="s">
        <v>507</v>
      </c>
      <c r="N4" s="139" t="s">
        <v>259</v>
      </c>
      <c r="O4" s="56">
        <v>1</v>
      </c>
      <c r="P4">
        <v>1</v>
      </c>
      <c r="Q4">
        <f>IFERROR(IF(VLOOKUP(Tb_Activiteiten[[#This Row],[Openstelling]],Tb_Openstelling[#Data],2,0)=1,1,""),"")</f>
        <v>1</v>
      </c>
      <c r="R4">
        <v>1</v>
      </c>
      <c r="S4">
        <v>1</v>
      </c>
      <c r="T4">
        <v>0</v>
      </c>
      <c r="U4">
        <v>0</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t="s">
        <v>508</v>
      </c>
      <c r="B5">
        <v>1</v>
      </c>
      <c r="C5">
        <v>1</v>
      </c>
      <c r="D5">
        <v>1</v>
      </c>
      <c r="E5">
        <v>0</v>
      </c>
      <c r="F5" s="64">
        <v>25000</v>
      </c>
      <c r="G5" s="64">
        <v>500000</v>
      </c>
      <c r="H5" s="283">
        <v>0.1</v>
      </c>
      <c r="I5" s="283"/>
      <c r="J5" s="283"/>
      <c r="K5" s="283"/>
      <c r="M5" s="236" t="s">
        <v>507</v>
      </c>
      <c r="N5" t="s">
        <v>503</v>
      </c>
      <c r="O5" s="56">
        <v>0.4</v>
      </c>
      <c r="P5">
        <v>1</v>
      </c>
      <c r="Q5">
        <f>IFERROR(IF(VLOOKUP(Tb_Activiteiten[[#This Row],[Openstelling]],Tb_Openstelling[#Data],2,0)=1,1,""),"")</f>
        <v>1</v>
      </c>
      <c r="R5">
        <v>1</v>
      </c>
      <c r="S5">
        <v>1</v>
      </c>
      <c r="T5">
        <v>1</v>
      </c>
      <c r="U5">
        <v>0</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Grondkosten</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t="s">
        <v>508</v>
      </c>
      <c r="N6" s="139" t="s">
        <v>259</v>
      </c>
      <c r="O6" s="56">
        <v>1</v>
      </c>
      <c r="P6">
        <v>1</v>
      </c>
      <c r="Q6">
        <f>IFERROR(IF(VLOOKUP(Tb_Activiteiten[[#This Row],[Openstelling]],Tb_Openstelling[#Data],2,0)=1,1,""),"")</f>
        <v>1</v>
      </c>
      <c r="R6">
        <v>1</v>
      </c>
      <c r="S6">
        <v>1</v>
      </c>
      <c r="T6">
        <v>0</v>
      </c>
      <c r="U6">
        <v>0</v>
      </c>
      <c r="V6">
        <v>0</v>
      </c>
      <c r="W6">
        <v>0</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M7" s="236" t="s">
        <v>508</v>
      </c>
      <c r="N7" t="s">
        <v>503</v>
      </c>
      <c r="O7" s="56">
        <v>0.4</v>
      </c>
      <c r="P7">
        <v>1</v>
      </c>
      <c r="Q7">
        <f>IFERROR(IF(VLOOKUP(Tb_Activiteiten[[#This Row],[Openstelling]],Tb_Openstelling[#Data],2,0)=1,1,""),"")</f>
        <v>1</v>
      </c>
      <c r="R7">
        <v>1</v>
      </c>
      <c r="S7">
        <v>1</v>
      </c>
      <c r="T7">
        <v>1</v>
      </c>
      <c r="U7">
        <v>0</v>
      </c>
      <c r="V7">
        <v>0</v>
      </c>
      <c r="W7">
        <v>0</v>
      </c>
      <c r="AA7">
        <v>1</v>
      </c>
      <c r="AB7">
        <v>1</v>
      </c>
      <c r="AK7" t="str">
        <f>IF(ISNUMBER(FIND("arbeid",Methode_Keuze)),"",IF(ISNUMBER(FIND("arbeid",Methode_Keuze)),"",IF(Tb_Activiteiten[[#This Row],[Loonkosten]]=1,Tb_Activiteiten[[#Headers],[Loonkosten]],"")))</f>
        <v>Loonkosten</v>
      </c>
      <c r="AL7" t="str">
        <f>IF(ISNUMBER(FIND("arbeid",Methode_Keuze)),"",IF(ISNUMBER(FIND("arbeid",Methode_Keuze)),"",IF(Tb_Activiteiten[[#This Row],[Eigen arbeid]]=1,Tb_Activiteiten[[#Headers],[Eigen arbeid]],"")))</f>
        <v>Eigen arbeid</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Arbeidskosten</v>
      </c>
      <c r="AR7" t="str">
        <f>IF(ISNUMBER(FIND("arbeid",Methode_Keuze)),"",IF(ISNUMBER(FIND("arbeid",Methode_Keuze)),"",IF(Tb_Activiteiten[[#This Row],[Arbeidskosten op basis van IKS]]=1,Tb_Activiteiten[[#Headers],[Arbeidskosten op basis van IKS]],"")))</f>
        <v>Arbeidskosten op basis van IKS</v>
      </c>
      <c r="AS7" t="str">
        <f>IF(ISNUMBER(FIND("overige",Methode_Keuze)),"",IF(Tb_Activiteiten[[#This Row],[Kosten derden exclusief btw]]=1,Tb_Activiteiten[[#Headers],[Kosten derden exclusief btw]],""))</f>
        <v>Kosten derden exclusief btw</v>
      </c>
      <c r="AT7" t="str">
        <f>IF(ISNUMBER(FIND("overige",Methode_Keuze)),"",IF(Tb_Activiteiten[[#This Row],[Niet verrekenbare btw]]=1,Tb_Activiteiten[[#Headers],[Niet verrekenbare btw]],""))</f>
        <v>Niet verrekenbare btw</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Row],[Openstelling]],Tb_Openstelling[#Data],2,0)=1,1,""),"")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Row],[Openstelling]],Tb_Openstelling[#Data],2,0)=1,1,""),"")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Row],[Openstelling]],Tb_Openstelling[#Data],2,0)=1,1,""),"")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Row],[Openstelling]],Tb_Openstelling[#Data],2,0)=1,1,""),"")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Row],[Openstelling]],Tb_Openstelling[#Data],2,0)=1,1,""),"")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Row],[Openstelling]],Tb_Openstelling[#Data],2,0)=1,1,""),"")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Row],[Openstelling]],Tb_Openstelling[#Data],2,0)=1,1,""),"")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Row],[Openstelling]],Tb_Openstelling[#Data],2,0)=1,1,""),"")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Row],[Openstelling]],Tb_Openstelling[#Data],2,0)=1,1,""),"")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Row],[Openstelling]],Tb_Openstelling[#Data],2,0)=1,1,""),"")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Row],[Openstelling]],Tb_Openstelling[#Data],2,0)=1,1,""),"")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Row],[Openstelling]],Tb_Openstelling[#Data],2,0)=1,1,""),"")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Row],[Openstelling]],Tb_Openstelling[#Data],2,0)=1,1,""),"")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Row],[Openstelling]],Tb_Openstelling[#Data],2,0)=1,1,""),"")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Row],[Openstelling]],Tb_Openstelling[#Data],2,0)=1,1,""),"")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Row],[Openstelling]],Tb_Openstelling[#Data],2,0)=1,1,""),"")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Row],[Openstelling]],Tb_Openstelling[#Data],2,0)=1,1,""),"")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Row],[Openstelling]],Tb_Openstelling[#Data],2,0)=1,1,""),"")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Row],[Openstelling]],Tb_Openstelling[#Data],2,0)=1,1,""),"")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Row],[Openstelling]],Tb_Openstelling[#Data],2,0)=1,1,""),"")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Row],[Openstelling]],Tb_Openstelling[#Data],2,0)=1,1,""),"")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Row],[Openstelling]],Tb_Openstelling[#Data],2,0)=1,1,""),"")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Row],[Openstelling]],Tb_Openstelling[#Data],2,0)=1,1,""),"")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Row],[Openstelling]],Tb_Openstelling[#Data],2,0)=1,1,""),"")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Row],[Openstelling]],Tb_Openstelling[#Data],2,0)=1,1,""),"")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Row],[Openstelling]],Tb_Openstelling[#Data],2,0)=1,1,""),"")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Row],[Openstelling]],Tb_Openstelling[#Data],2,0)=1,1,""),"")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Row],[Openstelling]],Tb_Openstelling[#Data],2,0)=1,1,""),"")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Row],[Openstelling]],Tb_Openstelling[#Data],2,0)=1,1,""),"")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Row],[Openstelling]],Tb_Openstelling[#Data],2,0)=1,1,""),"")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Row],[Openstelling]],Tb_Openstelling[#Data],2,0)=1,1,""),"")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Row],[Openstelling]],Tb_Openstelling[#Data],2,0)=1,1,""),"")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Row],[Openstelling]],Tb_Openstelling[#Data],2,0)=1,1,""),"")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Row],[Openstelling]],Tb_Openstelling[#Data],2,0)=1,1,""),"")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Row],[Openstelling]],Tb_Openstelling[#Data],2,0)=1,1,""),"")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Row],[Openstelling]],Tb_Openstelling[#Data],2,0)=1,1,""),"")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Row],[Openstelling]],Tb_Openstelling[#Data],2,0)=1,1,""),"")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Row],[Openstelling]],Tb_Openstelling[#Data],2,0)=1,1,""),"")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Row],[Openstelling]],Tb_Openstelling[#Data],2,0)=1,1,""),"")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Row],[Openstelling]],Tb_Openstelling[#Data],2,0)=1,1,""),"")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Row],[Openstelling]],Tb_Openstelling[#Data],2,0)=1,1,""),"")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Row],[Openstelling]],Tb_Openstelling[#Data],2,0)=1,1,""),"")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Row],[Openstelling]],Tb_Openstelling[#Data],2,0)=1,1,""),"")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Row],[Openstelling]],Tb_Openstelling[#Data],2,0)=1,1,""),"")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Row],[Openstelling]],Tb_Openstelling[#Data],2,0)=1,1,""),"")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Row],[Openstelling]],Tb_Openstelling[#Data],2,0)=1,1,""),"")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Row],[Openstelling]],Tb_Openstelling[#Data],2,0)=1,1,""),"")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Row],[Openstelling]],Tb_Openstelling[#Data],2,0)=1,1,""),"")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Row],[Openstelling]],Tb_Openstelling[#Data],2,0)=1,1,""),"")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Row],[Openstelling]],Tb_Openstelling[#Data],2,0)=1,1,""),"")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Row],[Openstelling]],Tb_Openstelling[#Data],2,0)=1,1,""),"")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Row],[Openstelling]],Tb_Openstelling[#Data],2,0)=1,1,""),"")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Row],[Openstelling]],Tb_Openstelling[#Data],2,0)=1,1,""),"")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Row],[Openstelling]],Tb_Openstelling[#Data],2,0)=1,1,""),"")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Row],[Openstelling]],Tb_Openstelling[#Data],2,0)=1,1,""),"")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Row],[Openstelling]],Tb_Openstelling[#Data],2,0)=1,1,""),"")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Row],[Openstelling]],Tb_Openstelling[#Data],2,0)=1,1,""),"")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Row],[Openstelling]],Tb_Openstelling[#Data],2,0)=1,1,""),"")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Row],[Openstelling]],Tb_Openstelling[#Data],2,0)=1,1,""),"")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Row],[Openstelling]],Tb_Openstelling[#Data],2,0)=1,1,""),"")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Row],[Openstelling]],Tb_Openstelling[#Data],2,0)=1,1,""),"")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Row],[Openstelling]],Tb_Openstelling[#Data],2,0)=1,1,""),"")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Row],[Openstelling]],Tb_Openstelling[#Data],2,0)=1,1,""),"")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Row],[Openstelling]],Tb_Openstelling[#Data],2,0)=1,1,""),"")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Row],[Openstelling]],Tb_Openstelling[#Data],2,0)=1,1,""),"")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Row],[Openstelling]],Tb_Openstelling[#Data],2,0)=1,1,""),"")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Row],[Openstelling]],Tb_Openstelling[#Data],2,0)=1,1,""),"")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Row],[Openstelling]],Tb_Openstelling[#Data],2,0)=1,1,""),"")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Row],[Openstelling]],Tb_Openstelling[#Data],2,0)=1,1,""),"")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Row],[Openstelling]],Tb_Openstelling[#Data],2,0)=1,1,""),"")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Row],[Openstelling]],Tb_Openstelling[#Data],2,0)=1,1,""),"")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Row],[Openstelling]],Tb_Openstelling[#Data],2,0)=1,1,""),"")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Row],[Openstelling]],Tb_Openstelling[#Data],2,0)=1,1,""),"")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Row],[Openstelling]],Tb_Openstelling[#Data],2,0)=1,1,""),"")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Row],[Openstelling]],Tb_Openstelling[#Data],2,0)=1,1,""),"")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Row],[Openstelling]],Tb_Openstelling[#Data],2,0)=1,1,""),"")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Row],[Openstelling]],Tb_Openstelling[#Data],2,0)=1,1,""),"")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Row],[Openstelling]],Tb_Openstelling[#Data],2,0)=1,1,""),"")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Row],[Openstelling]],Tb_Openstelling[#Data],2,0)=1,1,""),"")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Row],[Openstelling]],Tb_Openstelling[#Data],2,0)=1,1,""),"")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Row],[Openstelling]],Tb_Openstelling[#Data],2,0)=1,1,""),"")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Row],[Openstelling]],Tb_Openstelling[#Data],2,0)=1,1,""),"")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Row],[Openstelling]],Tb_Openstelling[#Data],2,0)=1,1,""),"")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Row],[Openstelling]],Tb_Openstelling[#Data],2,0)=1,1,""),"")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Row],[Openstelling]],Tb_Openstelling[#Data],2,0)=1,1,""),"")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Row],[Openstelling]],Tb_Openstelling[#Data],2,0)=1,1,""),"")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Row],[Openstelling]],Tb_Openstelling[#Data],2,0)=1,1,""),"")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Row],[Openstelling]],Tb_Openstelling[#Data],2,0)=1,1,""),"")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Row],[Openstelling]],Tb_Openstelling[#Data],2,0)=1,1,""),"")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Row],[Openstelling]],Tb_Openstelling[#Data],2,0)=1,1,""),"")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Row],[Openstelling]],Tb_Openstelling[#Data],2,0)=1,1,""),"")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Row],[Openstelling]],Tb_Openstelling[#Data],2,0)=1,1,""),"")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Row],[Openstelling]],Tb_Openstelling[#Data],2,0)=1,1,""),"")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Row],[Openstelling]],Tb_Openstelling[#Data],2,0)=1,1,""),"")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Row],[Openstelling]],Tb_Openstelling[#Data],2,0)=1,1,""),"")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Row],[Openstelling]],Tb_Openstelling[#Data],2,0)=1,1,""),"")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Row],[Openstelling]],Tb_Openstelling[#Data],2,0)=1,1,""),"")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Row],[Openstelling]],Tb_Openstelling[#Data],2,0)=1,1,""),"")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Row],[Openstelling]],Tb_Openstelling[#Data],2,0)=1,1,""),"")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Row],[Openstelling]],Tb_Openstelling[#Data],2,0)=1,1,""),"")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Row],[Openstelling]],Tb_Openstelling[#Data],2,0)=1,1,""),"")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Row],[Openstelling]],Tb_Openstelling[#Data],2,0)=1,1,""),"")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Row],[Openstelling]],Tb_Openstelling[#Data],2,0)=1,1,""),"")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Row],[Openstelling]],Tb_Openstelling[#Data],2,0)=1,1,""),"")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Row],[Openstelling]],Tb_Openstelling[#Data],2,0)=1,1,""),"")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Row],[Openstelling]],Tb_Openstelling[#Data],2,0)=1,1,""),"")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Row],[Openstelling]],Tb_Openstelling[#Data],2,0)=1,1,""),"")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Row],[Openstelling]],Tb_Openstelling[#Data],2,0)=1,1,""),"")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Row],[Openstelling]],Tb_Openstelling[#Data],2,0)=1,1,""),"")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Row],[Openstelling]],Tb_Openstelling[#Data],2,0)=1,1,""),"")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Row],[Openstelling]],Tb_Openstelling[#Data],2,0)=1,1,""),"")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Row],[Openstelling]],Tb_Openstelling[#Data],2,0)=1,1,""),"")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Row],[Openstelling]],Tb_Openstelling[#Data],2,0)=1,1,""),"")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Row],[Openstelling]],Tb_Openstelling[#Data],2,0)=1,1,""),"")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Row],[Openstelling]],Tb_Openstelling[#Data],2,0)=1,1,""),"")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Row],[Openstelling]],Tb_Openstelling[#Data],2,0)=1,1,""),"")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Row],[Openstelling]],Tb_Openstelling[#Data],2,0)=1,1,""),"")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Row],[Openstelling]],Tb_Openstelling[#Data],2,0)=1,1,""),"")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Row],[Openstelling]],Tb_Openstelling[#Data],2,0)=1,1,""),"")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Row],[Openstelling]],Tb_Openstelling[#Data],2,0)=1,1,""),"")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Row],[Openstelling]],Tb_Openstelling[#Data],2,0)=1,1,""),"")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Row],[Openstelling]],Tb_Openstelling[#Data],2,0)=1,1,""),"")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Row],[Openstelling]],Tb_Openstelling[#Data],2,0)=1,1,""),"")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Row],[Openstelling]],Tb_Openstelling[#Data],2,0)=1,1,""),"")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Row],[Openstelling]],Tb_Openstelling[#Data],2,0)=1,1,""),"")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Row],[Openstelling]],Tb_Openstelling[#Data],2,0)=1,1,""),"")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Row],[Openstelling]],Tb_Openstelling[#Data],2,0)=1,1,""),"")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Row],[Openstelling]],Tb_Openstelling[#Data],2,0)=1,1,""),"")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Row],[Openstelling]],Tb_Openstelling[#Data],2,0)=1,1,""),"")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Row],[Openstelling]],Tb_Openstelling[#Data],2,0)=1,1,""),"")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Row],[Openstelling]],Tb_Openstelling[#Data],2,0)=1,1,""),"")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Row],[Openstelling]],Tb_Openstelling[#Data],2,0)=1,1,""),"")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Row],[Openstelling]],Tb_Openstelling[#Data],2,0)=1,1,""),"")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Row],[Openstelling]],Tb_Openstelling[#Data],2,0)=1,1,""),"")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Row],[Openstelling]],Tb_Openstelling[#Data],2,0)=1,1,""),"")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Row],[Openstelling]],Tb_Openstelling[#Data],2,0)=1,1,""),"")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Row],[Openstelling]],Tb_Openstelling[#Data],2,0)=1,1,""),"")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Row],[Openstelling]],Tb_Openstelling[#Data],2,0)=1,1,""),"")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Row],[Openstelling]],Tb_Openstelling[#Data],2,0)=1,1,""),"")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Row],[Openstelling]],Tb_Openstelling[#Data],2,0)=1,1,""),"")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Row],[Openstelling]],Tb_Openstelling[#Data],2,0)=1,1,""),"")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Row],[Openstelling]],Tb_Openstelling[#Data],2,0)=1,1,""),"")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Row],[Openstelling]],Tb_Openstelling[#Data],2,0)=1,1,""),"")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Row],[Openstelling]],Tb_Openstelling[#Data],2,0)=1,1,""),"")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Row],[Openstelling]],Tb_Openstelling[#Data],2,0)=1,1,""),"")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Row],[Openstelling]],Tb_Openstelling[#Data],2,0)=1,1,""),"")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Row],[Openstelling]],Tb_Openstelling[#Data],2,0)=1,1,""),"")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Row],[Openstelling]],Tb_Openstelling[#Data],2,0)=1,1,""),"")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Row],[Openstelling]],Tb_Openstelling[#Data],2,0)=1,1,""),"")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Row],[Openstelling]],Tb_Openstelling[#Data],2,0)=1,1,""),"")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Row],[Openstelling]],Tb_Openstelling[#Data],2,0)=1,1,""),"")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Row],[Openstelling]],Tb_Openstelling[#Data],2,0)=1,1,""),"")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Row],[Openstelling]],Tb_Openstelling[#Data],2,0)=1,1,""),"")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Row],[Openstelling]],Tb_Openstelling[#Data],2,0)=1,1,""),"")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Row],[Openstelling]],Tb_Openstelling[#Data],2,0)=1,1,""),"")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Row],[Openstelling]],Tb_Openstelling[#Data],2,0)=1,1,""),"")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Row],[Openstelling]],Tb_Openstelling[#Data],2,0)=1,1,""),"")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Row],[Openstelling]],Tb_Openstelling[#Data],2,0)=1,1,""),"")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Row],[Openstelling]],Tb_Openstelling[#Data],2,0)=1,1,""),"")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Row],[Openstelling]],Tb_Openstelling[#Data],2,0)=1,1,""),"")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Row],[Openstelling]],Tb_Openstelling[#Data],2,0)=1,1,""),"")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Row],[Openstelling]],Tb_Openstelling[#Data],2,0)=1,1,""),"")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Row],[Openstelling]],Tb_Openstelling[#Data],2,0)=1,1,""),"")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Row],[Openstelling]],Tb_Openstelling[#Data],2,0)=1,1,""),"")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Row],[Openstelling]],Tb_Openstelling[#Data],2,0)=1,1,""),"")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Row],[Openstelling]],Tb_Openstelling[#Data],2,0)=1,1,""),"")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Row],[Openstelling]],Tb_Openstelling[#Data],2,0)=1,1,""),"")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Row],[Openstelling]],Tb_Openstelling[#Data],2,0)=1,1,""),"")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Row],[Openstelling]],Tb_Openstelling[#Data],2,0)=1,1,""),"")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Row],[Openstelling]],Tb_Openstelling[#Data],2,0)=1,1,""),"")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Row],[Openstelling]],Tb_Openstelling[#Data],2,0)=1,1,""),"")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Row],[Openstelling]],Tb_Openstelling[#Data],2,0)=1,1,""),"")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Row],[Openstelling]],Tb_Openstelling[#Data],2,0)=1,1,""),"")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Row],[Openstelling]],Tb_Openstelling[#Data],2,0)=1,1,""),"")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Row],[Openstelling]],Tb_Openstelling[#Data],2,0)=1,1,""),"")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Row],[Openstelling]],Tb_Openstelling[#Data],2,0)=1,1,""),"")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Row],[Openstelling]],Tb_Openstelling[#Data],2,0)=1,1,""),"")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Row],[Openstelling]],Tb_Openstelling[#Data],2,0)=1,1,""),"")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Row],[Openstelling]],Tb_Openstelling[#Data],2,0)=1,1,""),"")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Row],[Openstelling]],Tb_Openstelling[#Data],2,0)=1,1,""),"")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Row],[Openstelling]],Tb_Openstelling[#Data],2,0)=1,1,""),"")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Row],[Openstelling]],Tb_Openstelling[#Data],2,0)=1,1,""),"")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Row],[Openstelling]],Tb_Openstelling[#Data],2,0)=1,1,""),"")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Row],[Openstelling]],Tb_Openstelling[#Data],2,0)=1,1,""),"")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Row],[Openstelling]],Tb_Openstelling[#Data],2,0)=1,1,""),"")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Row],[Openstelling]],Tb_Openstelling[#Data],2,0)=1,1,""),"")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Row],[Openstelling]],Tb_Openstelling[#Data],2,0)=1,1,""),"")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Row],[Openstelling]],Tb_Openstelling[#Data],2,0)=1,1,""),"")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Row],[Openstelling]],Tb_Openstelling[#Data],2,0)=1,1,""),"")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Row],[Openstelling]],Tb_Openstelling[#Data],2,0)=1,1,""),"")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Row],[Openstelling]],Tb_Openstelling[#Data],2,0)=1,1,""),"")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Row],[Openstelling]],Tb_Openstelling[#Data],2,0)=1,1,""),"")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Row],[Openstelling]],Tb_Openstelling[#Data],2,0)=1,1,""),"")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Row],[Openstelling]],Tb_Openstelling[#Data],2,0)=1,1,""),"")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Row],[Openstelling]],Tb_Openstelling[#Data],2,0)=1,1,""),"")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Row],[Openstelling]],Tb_Openstelling[#Data],2,0)=1,1,""),"")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Row],[Openstelling]],Tb_Openstelling[#Data],2,0)=1,1,""),"")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Row],[Openstelling]],Tb_Openstelling[#Data],2,0)=1,1,""),"")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Row],[Openstelling]],Tb_Openstelling[#Data],2,0)=1,1,""),"")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Row],[Openstelling]],Tb_Openstelling[#Data],2,0)=1,1,""),"")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Row],[Openstelling]],Tb_Openstelling[#Data],2,0)=1,1,""),"")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Row],[Openstelling]],Tb_Openstelling[#Data],2,0)=1,1,""),"")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Row],[Openstelling]],Tb_Openstelling[#Data],2,0)=1,1,""),"")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Row],[Openstelling]],Tb_Openstelling[#Data],2,0)=1,1,""),"")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Row],[Openstelling]],Tb_Openstelling[#Data],2,0)=1,1,""),"")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Row],[Openstelling]],Tb_Openstelling[#Data],2,0)=1,1,""),"")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Row],[Openstelling]],Tb_Openstelling[#Data],2,0)=1,1,""),"")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Row],[Openstelling]],Tb_Openstelling[#Data],2,0)=1,1,""),"")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Row],[Openstelling]],Tb_Openstelling[#Data],2,0)=1,1,""),"")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Row],[Openstelling]],Tb_Openstelling[#Data],2,0)=1,1,""),"")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Row],[Openstelling]],Tb_Openstelling[#Data],2,0)=1,1,""),"")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Row],[Openstelling]],Tb_Openstelling[#Data],2,0)=1,1,""),"")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Row],[Openstelling]],Tb_Openstelling[#Data],2,0)=1,1,""),"")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Row],[Openstelling]],Tb_Openstelling[#Data],2,0)=1,1,""),"")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Row],[Openstelling]],Tb_Openstelling[#Data],2,0)=1,1,""),"")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Row],[Openstelling]],Tb_Openstelling[#Data],2,0)=1,1,""),"")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Row],[Openstelling]],Tb_Openstelling[#Data],2,0)=1,1,""),"")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Row],[Openstelling]],Tb_Openstelling[#Data],2,0)=1,1,""),"")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Row],[Openstelling]],Tb_Openstelling[#Data],2,0)=1,1,""),"")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Row],[Openstelling]],Tb_Openstelling[#Data],2,0)=1,1,""),"")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Row],[Openstelling]],Tb_Openstelling[#Data],2,0)=1,1,""),"")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Row],[Openstelling]],Tb_Openstelling[#Data],2,0)=1,1,""),"")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Row],[Openstelling]],Tb_Openstelling[#Data],2,0)=1,1,""),"")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Row],[Openstelling]],Tb_Openstelling[#Data],2,0)=1,1,""),"")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Row],[Openstelling]],Tb_Openstelling[#Data],2,0)=1,1,""),"")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Row],[Openstelling]],Tb_Openstelling[#Data],2,0)=1,1,""),"")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Row],[Openstelling]],Tb_Openstelling[#Data],2,0)=1,1,""),"")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Row],[Openstelling]],Tb_Openstelling[#Data],2,0)=1,1,""),"")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Row],[Openstelling]],Tb_Openstelling[#Data],2,0)=1,1,""),"")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Row],[Openstelling]],Tb_Openstelling[#Data],2,0)=1,1,""),"")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Row],[Openstelling]],Tb_Openstelling[#Data],2,0)=1,1,""),"")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Row],[Openstelling]],Tb_Openstelling[#Data],2,0)=1,1,""),"")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Row],[Openstelling]],Tb_Openstelling[#Data],2,0)=1,1,""),"")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Row],[Openstelling]],Tb_Openstelling[#Data],2,0)=1,1,""),"")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Row],[Openstelling]],Tb_Openstelling[#Data],2,0)=1,1,""),"")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Row],[Openstelling]],Tb_Openstelling[#Data],2,0)=1,1,""),"")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Row],[Openstelling]],Tb_Openstelling[#Data],2,0)=1,1,""),"")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Row],[Openstelling]],Tb_Openstelling[#Data],2,0)=1,1,""),"")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Row],[Openstelling]],Tb_Openstelling[#Data],2,0)=1,1,""),"")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Row],[Openstelling]],Tb_Openstelling[#Data],2,0)=1,1,""),"")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Row],[Openstelling]],Tb_Openstelling[#Data],2,0)=1,1,""),"")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Row],[Openstelling]],Tb_Openstelling[#Data],2,0)=1,1,""),"")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Row],[Openstelling]],Tb_Openstelling[#Data],2,0)=1,1,""),"")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Row],[Openstelling]],Tb_Openstelling[#Data],2,0)=1,1,""),"")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Row],[Openstelling]],Tb_Openstelling[#Data],2,0)=1,1,""),"")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Row],[Openstelling]],Tb_Openstelling[#Data],2,0)=1,1,""),"")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Row],[Openstelling]],Tb_Openstelling[#Data],2,0)=1,1,""),"")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Row],[Openstelling]],Tb_Openstelling[#Data],2,0)=1,1,""),"")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Row],[Openstelling]],Tb_Openstelling[#Data],2,0)=1,1,""),"")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Row],[Openstelling]],Tb_Openstelling[#Data],2,0)=1,1,""),"")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Row],[Openstelling]],Tb_Openstelling[#Data],2,0)=1,1,""),"")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Row],[Openstelling]],Tb_Openstelling[#Data],2,0)=1,1,""),"")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Row],[Openstelling]],Tb_Openstelling[#Data],2,0)=1,1,""),"")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Row],[Openstelling]],Tb_Openstelling[#Data],2,0)=1,1,""),"")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Row],[Openstelling]],Tb_Openstelling[#Data],2,0)=1,1,""),"")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Row],[Openstelling]],Tb_Openstelling[#Data],2,0)=1,1,""),"")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Row],[Openstelling]],Tb_Openstelling[#Data],2,0)=1,1,""),"")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Row],[Openstelling]],Tb_Openstelling[#Data],2,0)=1,1,""),"")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Row],[Openstelling]],Tb_Openstelling[#Data],2,0)=1,1,""),"")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Row],[Openstelling]],Tb_Openstelling[#Data],2,0)=1,1,""),"")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Row],[Openstelling]],Tb_Openstelling[#Data],2,0)=1,1,""),"")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Row],[Openstelling]],Tb_Openstelling[#Data],2,0)=1,1,""),"")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Row],[Openstelling]],Tb_Openstelling[#Data],2,0)=1,1,""),"")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Row],[Openstelling]],Tb_Openstelling[#Data],2,0)=1,1,""),"")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Row],[Openstelling]],Tb_Openstelling[#Data],2,0)=1,1,""),"")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Row],[Openstelling]],Tb_Openstelling[#Data],2,0)=1,1,""),"")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Row],[Openstelling]],Tb_Openstelling[#Data],2,0)=1,1,""),"")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Row],[Openstelling]],Tb_Openstelling[#Data],2,0)=1,1,""),"")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Row],[Openstelling]],Tb_Openstelling[#Data],2,0)=1,1,""),"")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Row],[Openstelling]],Tb_Openstelling[#Data],2,0)=1,1,""),"")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Row],[Openstelling]],Tb_Openstelling[#Data],2,0)=1,1,""),"")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Row],[Openstelling]],Tb_Openstelling[#Data],2,0)=1,1,""),"")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Row],[Openstelling]],Tb_Openstelling[#Data],2,0)=1,1,""),"")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Row],[Openstelling]],Tb_Openstelling[#Data],2,0)=1,1,""),"")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Row],[Openstelling]],Tb_Openstelling[#Data],2,0)=1,1,""),"")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Row],[Openstelling]],Tb_Openstelling[#Data],2,0)=1,1,""),"")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Row],[Openstelling]],Tb_Openstelling[#Data],2,0)=1,1,""),"")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Row],[Openstelling]],Tb_Openstelling[#Data],2,0)=1,1,""),"")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Row],[Openstelling]],Tb_Openstelling[#Data],2,0)=1,1,""),"")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Row],[Openstelling]],Tb_Openstelling[#Data],2,0)=1,1,""),"")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Row],[Openstelling]],Tb_Openstelling[#Data],2,0)=1,1,""),"")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Row],[Openstelling]],Tb_Openstelling[#Data],2,0)=1,1,""),"")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Row],[Openstelling]],Tb_Openstelling[#Data],2,0)=1,1,""),"")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Row],[Openstelling]],Tb_Openstelling[#Data],2,0)=1,1,""),"")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Row],[Openstelling]],Tb_Openstelling[#Data],2,0)=1,1,""),"")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Row],[Openstelling]],Tb_Openstelling[#Data],2,0)=1,1,""),"")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Row],[Openstelling]],Tb_Openstelling[#Data],2,0)=1,1,""),"")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Row],[Openstelling]],Tb_Openstelling[#Data],2,0)=1,1,""),"")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Row],[Openstelling]],Tb_Openstelling[#Data],2,0)=1,1,""),"")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Row],[Openstelling]],Tb_Openstelling[#Data],2,0)=1,1,""),"")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Row],[Openstelling]],Tb_Openstelling[#Data],2,0)=1,1,""),"")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Row],[Openstelling]],Tb_Openstelling[#Data],2,0)=1,1,""),"")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Row],[Openstelling]],Tb_Openstelling[#Data],2,0)=1,1,""),"")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Row],[Openstelling]],Tb_Openstelling[#Data],2,0)=1,1,""),"")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Row],[Openstelling]],Tb_Openstelling[#Data],2,0)=1,1,""),"")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Row],[Openstelling]],Tb_Openstelling[#Data],2,0)=1,1,""),"")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Row],[Openstelling]],Tb_Openstelling[#Data],2,0)=1,1,""),"")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Row],[Openstelling]],Tb_Openstelling[#Data],2,0)=1,1,""),"")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Row],[Openstelling]],Tb_Openstelling[#Data],2,0)=1,1,""),"")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Row],[Openstelling]],Tb_Openstelling[#Data],2,0)=1,1,""),"")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Row],[Openstelling]],Tb_Openstelling[#Data],2,0)=1,1,""),"")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Row],[Openstelling]],Tb_Openstelling[#Data],2,0)=1,1,""),"")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Row],[Openstelling]],Tb_Openstelling[#Data],2,0)=1,1,""),"")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Row],[Openstelling]],Tb_Openstelling[#Data],2,0)=1,1,""),"")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Row],[Openstelling]],Tb_Openstelling[#Data],2,0)=1,1,""),"")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Row],[Openstelling]],Tb_Openstelling[#Data],2,0)=1,1,""),"")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Row],[Openstelling]],Tb_Openstelling[#Data],2,0)=1,1,""),"")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Row],[Openstelling]],Tb_Openstelling[#Data],2,0)=1,1,""),"")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Row],[Openstelling]],Tb_Openstelling[#Data],2,0)=1,1,""),"")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Row],[Openstelling]],Tb_Openstelling[#Data],2,0)=1,1,""),"")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Row],[Openstelling]],Tb_Openstelling[#Data],2,0)=1,1,""),"")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Row],[Openstelling]],Tb_Openstelling[#Data],2,0)=1,1,""),"")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Row],[Openstelling]],Tb_Openstelling[#Data],2,0)=1,1,""),"")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Row],[Openstelling]],Tb_Openstelling[#Data],2,0)=1,1,""),"")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Row],[Openstelling]],Tb_Openstelling[#Data],2,0)=1,1,""),"")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Row],[Openstelling]],Tb_Openstelling[#Data],2,0)=1,1,""),"")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Row],[Openstelling]],Tb_Openstelling[#Data],2,0)=1,1,""),"")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Row],[Openstelling]],Tb_Openstelling[#Data],2,0)=1,1,""),"")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Row],[Openstelling]],Tb_Openstelling[#Data],2,0)=1,1,""),"")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Row],[Openstelling]],Tb_Openstelling[#Data],2,0)=1,1,""),"")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Row],[Openstelling]],Tb_Openstelling[#Data],2,0)=1,1,""),"")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Row],[Openstelling]],Tb_Openstelling[#Data],2,0)=1,1,""),"")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Row],[Openstelling]],Tb_Openstelling[#Data],2,0)=1,1,""),"")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Row],[Openstelling]],Tb_Openstelling[#Data],2,0)=1,1,""),"")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Row],[Openstelling]],Tb_Openstelling[#Data],2,0)=1,1,""),"")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Row],[Openstelling]],Tb_Openstelling[#Data],2,0)=1,1,""),"")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Row],[Openstelling]],Tb_Openstelling[#Data],2,0)=1,1,""),"")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Row],[Openstelling]],Tb_Openstelling[#Data],2,0)=1,1,""),"")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Row],[Openstelling]],Tb_Openstelling[#Data],2,0)=1,1,""),"")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Row],[Openstelling]],Tb_Openstelling[#Data],2,0)=1,1,""),"")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Row],[Openstelling]],Tb_Openstelling[#Data],2,0)=1,1,""),"")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Row],[Openstelling]],Tb_Openstelling[#Data],2,0)=1,1,""),"")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Row],[Openstelling]],Tb_Openstelling[#Data],2,0)=1,1,""),"")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Row],[Openstelling]],Tb_Openstelling[#Data],2,0)=1,1,""),"")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Row],[Openstelling]],Tb_Openstelling[#Data],2,0)=1,1,""),"")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Row],[Openstelling]],Tb_Openstelling[#Data],2,0)=1,1,""),"")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Row],[Openstelling]],Tb_Openstelling[#Data],2,0)=1,1,""),"")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Row],[Openstelling]],Tb_Openstelling[#Data],2,0)=1,1,""),"")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Row],[Openstelling]],Tb_Openstelling[#Data],2,0)=1,1,""),"")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Row],[Openstelling]],Tb_Openstelling[#Data],2,0)=1,1,""),"")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Row],[Openstelling]],Tb_Openstelling[#Data],2,0)=1,1,""),"")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Row],[Openstelling]],Tb_Openstelling[#Data],2,0)=1,1,""),"")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Row],[Openstelling]],Tb_Openstelling[#Data],2,0)=1,1,""),"")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Row],[Openstelling]],Tb_Openstelling[#Data],2,0)=1,1,""),"")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Row],[Openstelling]],Tb_Openstelling[#Data],2,0)=1,1,""),"")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Row],[Openstelling]],Tb_Openstelling[#Data],2,0)=1,1,""),"")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Row],[Openstelling]],Tb_Openstelling[#Data],2,0)=1,1,""),"")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Row],[Openstelling]],Tb_Openstelling[#Data],2,0)=1,1,""),"")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Row],[Openstelling]],Tb_Openstelling[#Data],2,0)=1,1,""),"")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Row],[Openstelling]],Tb_Openstelling[#Data],2,0)=1,1,""),"")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Row],[Openstelling]],Tb_Openstelling[#Data],2,0)=1,1,""),"")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Row],[Openstelling]],Tb_Openstelling[#Data],2,0)=1,1,""),"")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Row],[Openstelling]],Tb_Openstelling[#Data],2,0)=1,1,""),"")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Row],[Openstelling]],Tb_Openstelling[#Data],2,0)=1,1,""),"")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Row],[Openstelling]],Tb_Openstelling[#Data],2,0)=1,1,""),"")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Row],[Openstelling]],Tb_Openstelling[#Data],2,0)=1,1,""),"")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Row],[Openstelling]],Tb_Openstelling[#Data],2,0)=1,1,""),"")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Row],[Openstelling]],Tb_Openstelling[#Data],2,0)=1,1,""),"")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Row],[Openstelling]],Tb_Openstelling[#Data],2,0)=1,1,""),"")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Row],[Openstelling]],Tb_Openstelling[#Data],2,0)=1,1,""),"")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Row],[Openstelling]],Tb_Openstelling[#Data],2,0)=1,1,""),"")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Row],[Openstelling]],Tb_Openstelling[#Data],2,0)=1,1,""),"")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Row],[Openstelling]],Tb_Openstelling[#Data],2,0)=1,1,""),"")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Row],[Openstelling]],Tb_Openstelling[#Data],2,0)=1,1,""),"")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Row],[Openstelling]],Tb_Openstelling[#Data],2,0)=1,1,""),"")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Row],[Openstelling]],Tb_Openstelling[#Data],2,0)=1,1,""),"")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Row],[Openstelling]],Tb_Openstelling[#Data],2,0)=1,1,""),"")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Row],[Openstelling]],Tb_Openstelling[#Data],2,0)=1,1,""),"")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Row],[Openstelling]],Tb_Openstelling[#Data],2,0)=1,1,""),"")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Row],[Openstelling]],Tb_Openstelling[#Data],2,0)=1,1,""),"")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Row],[Openstelling]],Tb_Openstelling[#Data],2,0)=1,1,""),"")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Row],[Openstelling]],Tb_Openstelling[#Data],2,0)=1,1,""),"")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Row],[Openstelling]],Tb_Openstelling[#Data],2,0)=1,1,""),"")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Row],[Openstelling]],Tb_Openstelling[#Data],2,0)=1,1,""),"")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Row],[Openstelling]],Tb_Openstelling[#Data],2,0)=1,1,""),"")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Row],[Openstelling]],Tb_Openstelling[#Data],2,0)=1,1,""),"")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Row],[Openstelling]],Tb_Openstelling[#Data],2,0)=1,1,""),"")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Row],[Openstelling]],Tb_Openstelling[#Data],2,0)=1,1,""),"")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Row],[Openstelling]],Tb_Openstelling[#Data],2,0)=1,1,""),"")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Row],[Openstelling]],Tb_Openstelling[#Data],2,0)=1,1,""),"")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Row],[Openstelling]],Tb_Openstelling[#Data],2,0)=1,1,""),"")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Row],[Openstelling]],Tb_Openstelling[#Data],2,0)=1,1,""),"")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Row],[Openstelling]],Tb_Openstelling[#Data],2,0)=1,1,""),"")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Row],[Openstelling]],Tb_Openstelling[#Data],2,0)=1,1,""),"")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Row],[Openstelling]],Tb_Openstelling[#Data],2,0)=1,1,""),"")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Row],[Openstelling]],Tb_Openstelling[#Data],2,0)=1,1,""),"")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Row],[Openstelling]],Tb_Openstelling[#Data],2,0)=1,1,""),"")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Row],[Openstelling]],Tb_Openstelling[#Data],2,0)=1,1,""),"")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Row],[Openstelling]],Tb_Openstelling[#Data],2,0)=1,1,""),"")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Row],[Openstelling]],Tb_Openstelling[#Data],2,0)=1,1,""),"")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Row],[Openstelling]],Tb_Openstelling[#Data],2,0)=1,1,""),"")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Row],[Openstelling]],Tb_Openstelling[#Data],2,0)=1,1,""),"")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Row],[Openstelling]],Tb_Openstelling[#Data],2,0)=1,1,""),"")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Row],[Openstelling]],Tb_Openstelling[#Data],2,0)=1,1,""),"")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Row],[Openstelling]],Tb_Openstelling[#Data],2,0)=1,1,""),"")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Row],[Openstelling]],Tb_Openstelling[#Data],2,0)=1,1,""),"")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Row],[Openstelling]],Tb_Openstelling[#Data],2,0)=1,1,""),"")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Row],[Openstelling]],Tb_Openstelling[#Data],2,0)=1,1,""),"")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Row],[Openstelling]],Tb_Openstelling[#Data],2,0)=1,1,""),"")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Row],[Openstelling]],Tb_Openstelling[#Data],2,0)=1,1,""),"")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Row],[Openstelling]],Tb_Openstelling[#Data],2,0)=1,1,""),"")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Row],[Openstelling]],Tb_Openstelling[#Data],2,0)=1,1,""),"")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Row],[Openstelling]],Tb_Openstelling[#Data],2,0)=1,1,""),"")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Row],[Openstelling]],Tb_Openstelling[#Data],2,0)=1,1,""),"")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Row],[Openstelling]],Tb_Openstelling[#Data],2,0)=1,1,""),"")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Row],[Openstelling]],Tb_Openstelling[#Data],2,0)=1,1,""),"")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Row],[Openstelling]],Tb_Openstelling[#Data],2,0)=1,1,""),"")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Row],[Openstelling]],Tb_Openstelling[#Data],2,0)=1,1,""),"")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Row],[Openstelling]],Tb_Openstelling[#Data],2,0)=1,1,""),"")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Row],[Openstelling]],Tb_Openstelling[#Data],2,0)=1,1,""),"")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Row],[Openstelling]],Tb_Openstelling[#Data],2,0)=1,1,""),"")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Row],[Openstelling]],Tb_Openstelling[#Data],2,0)=1,1,""),"")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Row],[Openstelling]],Tb_Openstelling[#Data],2,0)=1,1,""),"")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Row],[Openstelling]],Tb_Openstelling[#Data],2,0)=1,1,""),"")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Row],[Openstelling]],Tb_Openstelling[#Data],2,0)=1,1,""),"")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Row],[Openstelling]],Tb_Openstelling[#Data],2,0)=1,1,""),"")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Row],[Openstelling]],Tb_Openstelling[#Data],2,0)=1,1,""),"")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Row],[Openstelling]],Tb_Openstelling[#Data],2,0)=1,1,""),"")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Row],[Openstelling]],Tb_Openstelling[#Data],2,0)=1,1,""),"")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Row],[Openstelling]],Tb_Openstelling[#Data],2,0)=1,1,""),"")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Row],[Openstelling]],Tb_Openstelling[#Data],2,0)=1,1,""),"")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Row],[Openstelling]],Tb_Openstelling[#Data],2,0)=1,1,""),"")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Row],[Openstelling]],Tb_Openstelling[#Data],2,0)=1,1,""),"")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Row],[Openstelling]],Tb_Openstelling[#Data],2,0)=1,1,""),"")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Row],[Openstelling]],Tb_Openstelling[#Data],2,0)=1,1,""),"")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Row],[Openstelling]],Tb_Openstelling[#Data],2,0)=1,1,""),"")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Row],[Openstelling]],Tb_Openstelling[#Data],2,0)=1,1,""),"")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Row],[Openstelling]],Tb_Openstelling[#Data],2,0)=1,1,""),"")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Row],[Openstelling]],Tb_Openstelling[#Data],2,0)=1,1,""),"")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Row],[Openstelling]],Tb_Openstelling[#Data],2,0)=1,1,""),"")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Row],[Openstelling]],Tb_Openstelling[#Data],2,0)=1,1,""),"")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Row],[Openstelling]],Tb_Openstelling[#Data],2,0)=1,1,""),"")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Row],[Openstelling]],Tb_Openstelling[#Data],2,0)=1,1,""),"")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Row],[Openstelling]],Tb_Openstelling[#Data],2,0)=1,1,""),"")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Row],[Openstelling]],Tb_Openstelling[#Data],2,0)=1,1,""),"")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Row],[Openstelling]],Tb_Openstelling[#Data],2,0)=1,1,""),"")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Row],[Openstelling]],Tb_Openstelling[#Data],2,0)=1,1,""),"")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Row],[Openstelling]],Tb_Openstelling[#Data],2,0)=1,1,""),"")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Row],[Openstelling]],Tb_Openstelling[#Data],2,0)=1,1,""),"")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Row],[Openstelling]],Tb_Openstelling[#Data],2,0)=1,1,""),"")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Row],[Openstelling]],Tb_Openstelling[#Data],2,0)=1,1,""),"")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Row],[Openstelling]],Tb_Openstelling[#Data],2,0)=1,1,""),"")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Row],[Openstelling]],Tb_Openstelling[#Data],2,0)=1,1,""),"")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Row],[Openstelling]],Tb_Openstelling[#Data],2,0)=1,1,""),"")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Row],[Openstelling]],Tb_Openstelling[#Data],2,0)=1,1,""),"")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Row],[Openstelling]],Tb_Openstelling[#Data],2,0)=1,1,""),"")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Row],[Openstelling]],Tb_Openstelling[#Data],2,0)=1,1,""),"")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Row],[Openstelling]],Tb_Openstelling[#Data],2,0)=1,1,""),"")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Row],[Openstelling]],Tb_Openstelling[#Data],2,0)=1,1,""),"")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Row],[Openstelling]],Tb_Openstelling[#Data],2,0)=1,1,""),"")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Row],[Openstelling]],Tb_Openstelling[#Data],2,0)=1,1,""),"")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Row],[Openstelling]],Tb_Openstelling[#Data],2,0)=1,1,""),"")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Row],[Openstelling]],Tb_Openstelling[#Data],2,0)=1,1,""),"")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Row],[Openstelling]],Tb_Openstelling[#Data],2,0)=1,1,""),"")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Row],[Openstelling]],Tb_Openstelling[#Data],2,0)=1,1,""),"")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Row],[Openstelling]],Tb_Openstelling[#Data],2,0)=1,1,""),"")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Row],[Openstelling]],Tb_Openstelling[#Data],2,0)=1,1,""),"")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Row],[Openstelling]],Tb_Openstelling[#Data],2,0)=1,1,""),"")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Row],[Openstelling]],Tb_Openstelling[#Data],2,0)=1,1,""),"")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Row],[Openstelling]],Tb_Openstelling[#Data],2,0)=1,1,""),"")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Row],[Openstelling]],Tb_Openstelling[#Data],2,0)=1,1,""),"")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Row],[Openstelling]],Tb_Openstelling[#Data],2,0)=1,1,""),"")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Row],[Openstelling]],Tb_Openstelling[#Data],2,0)=1,1,""),"")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Row],[Openstelling]],Tb_Openstelling[#Data],2,0)=1,1,""),"")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Row],[Openstelling]],Tb_Openstelling[#Data],2,0)=1,1,""),"")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Row],[Openstelling]],Tb_Openstelling[#Data],2,0)=1,1,""),"")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Row],[Openstelling]],Tb_Openstelling[#Data],2,0)=1,1,""),"")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Row],[Openstelling]],Tb_Openstelling[#Data],2,0)=1,1,""),"")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Row],[Openstelling]],Tb_Openstelling[#Data],2,0)=1,1,""),"")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Row],[Openstelling]],Tb_Openstelling[#Data],2,0)=1,1,""),"")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Row],[Openstelling]],Tb_Openstelling[#Data],2,0)=1,1,""),"")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Row],[Openstelling]],Tb_Openstelling[#Data],2,0)=1,1,""),"")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Row],[Openstelling]],Tb_Openstelling[#Data],2,0)=1,1,""),"")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Row],[Openstelling]],Tb_Openstelling[#Data],2,0)=1,1,""),"")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Row],[Openstelling]],Tb_Openstelling[#Data],2,0)=1,1,""),"")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Row],[Openstelling]],Tb_Openstelling[#Data],2,0)=1,1,""),"")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Row],[Openstelling]],Tb_Openstelling[#Data],2,0)=1,1,""),"")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Row],[Openstelling]],Tb_Openstelling[#Data],2,0)=1,1,""),"")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Row],[Openstelling]],Tb_Openstelling[#Data],2,0)=1,1,""),"")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Row],[Openstelling]],Tb_Openstelling[#Data],2,0)=1,1,""),"")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Row],[Openstelling]],Tb_Openstelling[#Data],2,0)=1,1,""),"")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Row],[Openstelling]],Tb_Openstelling[#Data],2,0)=1,1,""),"")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Row],[Openstelling]],Tb_Openstelling[#Data],2,0)=1,1,""),"")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Row],[Openstelling]],Tb_Openstelling[#Data],2,0)=1,1,""),"")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Row],[Openstelling]],Tb_Openstelling[#Data],2,0)=1,1,""),"")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Row],[Openstelling]],Tb_Openstelling[#Data],2,0)=1,1,""),"")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Row],[Openstelling]],Tb_Openstelling[#Data],2,0)=1,1,""),"")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Row],[Openstelling]],Tb_Openstelling[#Data],2,0)=1,1,""),"")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Row],[Openstelling]],Tb_Openstelling[#Data],2,0)=1,1,""),"")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Row],[Openstelling]],Tb_Openstelling[#Data],2,0)=1,1,""),"")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Row],[Openstelling]],Tb_Openstelling[#Data],2,0)=1,1,""),"")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Row],[Openstelling]],Tb_Openstelling[#Data],2,0)=1,1,""),"")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Row],[Openstelling]],Tb_Openstelling[#Data],2,0)=1,1,""),"")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Row],[Openstelling]],Tb_Openstelling[#Data],2,0)=1,1,""),"")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Row],[Openstelling]],Tb_Openstelling[#Data],2,0)=1,1,""),"")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Row],[Openstelling]],Tb_Openstelling[#Data],2,0)=1,1,""),"")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Row],[Openstelling]],Tb_Openstelling[#Data],2,0)=1,1,""),"")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Row],[Openstelling]],Tb_Openstelling[#Data],2,0)=1,1,""),"")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Row],[Openstelling]],Tb_Openstelling[#Data],2,0)=1,1,""),"")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Row],[Openstelling]],Tb_Openstelling[#Data],2,0)=1,1,""),"")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Row],[Openstelling]],Tb_Openstelling[#Data],2,0)=1,1,""),"")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Row],[Openstelling]],Tb_Openstelling[#Data],2,0)=1,1,""),"")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Row],[Openstelling]],Tb_Openstelling[#Data],2,0)=1,1,""),"")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Row],[Openstelling]],Tb_Openstelling[#Data],2,0)=1,1,""),"")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Row],[Openstelling]],Tb_Openstelling[#Data],2,0)=1,1,""),"")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Row],[Openstelling]],Tb_Openstelling[#Data],2,0)=1,1,""),"")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Row],[Openstelling]],Tb_Openstelling[#Data],2,0)=1,1,""),"")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Row],[Openstelling]],Tb_Openstelling[#Data],2,0)=1,1,""),"")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Row],[Openstelling]],Tb_Openstelling[#Data],2,0)=1,1,""),"")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Row],[Openstelling]],Tb_Openstelling[#Data],2,0)=1,1,""),"")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Row],[Openstelling]],Tb_Openstelling[#Data],2,0)=1,1,""),"")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Row],[Openstelling]],Tb_Openstelling[#Data],2,0)=1,1,""),"")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Row],[Openstelling]],Tb_Openstelling[#Data],2,0)=1,1,""),"")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Row],[Openstelling]],Tb_Openstelling[#Data],2,0)=1,1,""),"")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Row],[Openstelling]],Tb_Openstelling[#Data],2,0)=1,1,""),"")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Row],[Openstelling]],Tb_Openstelling[#Data],2,0)=1,1,""),"")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Row],[Openstelling]],Tb_Openstelling[#Data],2,0)=1,1,""),"")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Row],[Openstelling]],Tb_Openstelling[#Data],2,0)=1,1,""),"")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Row],[Openstelling]],Tb_Openstelling[#Data],2,0)=1,1,""),"")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Row],[Openstelling]],Tb_Openstelling[#Data],2,0)=1,1,""),"")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Row],[Openstelling]],Tb_Openstelling[#Data],2,0)=1,1,""),"")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Row],[Openstelling]],Tb_Openstelling[#Data],2,0)=1,1,""),"")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Row],[Openstelling]],Tb_Openstelling[#Data],2,0)=1,1,""),"")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Row],[Openstelling]],Tb_Openstelling[#Data],2,0)=1,1,""),"")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Row],[Openstelling]],Tb_Openstelling[#Data],2,0)=1,1,""),"")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Row],[Openstelling]],Tb_Openstelling[#Data],2,0)=1,1,""),"")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Row],[Openstelling]],Tb_Openstelling[#Data],2,0)=1,1,""),"")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Row],[Openstelling]],Tb_Openstelling[#Data],2,0)=1,1,""),"")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Row],[Openstelling]],Tb_Openstelling[#Data],2,0)=1,1,""),"")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Row],[Openstelling]],Tb_Openstelling[#Data],2,0)=1,1,""),"")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Row],[Openstelling]],Tb_Openstelling[#Data],2,0)=1,1,""),"")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Row],[Openstelling]],Tb_Openstelling[#Data],2,0)=1,1,""),"")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Row],[Openstelling]],Tb_Openstelling[#Data],2,0)=1,1,""),"")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Row],[Openstelling]],Tb_Openstelling[#Data],2,0)=1,1,""),"")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Row],[Openstelling]],Tb_Openstelling[#Data],2,0)=1,1,""),"")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Row],[Openstelling]],Tb_Openstelling[#Data],2,0)=1,1,""),"")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Row],[Openstelling]],Tb_Openstelling[#Data],2,0)=1,1,""),"")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Row],[Openstelling]],Tb_Openstelling[#Data],2,0)=1,1,""),"")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Row],[Openstelling]],Tb_Openstelling[#Data],2,0)=1,1,""),"")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Row],[Openstelling]],Tb_Openstelling[#Data],2,0)=1,1,""),"")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Row],[Openstelling]],Tb_Openstelling[#Data],2,0)=1,1,""),"")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Row],[Openstelling]],Tb_Openstelling[#Data],2,0)=1,1,""),"")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Row],[Openstelling]],Tb_Openstelling[#Data],2,0)=1,1,""),"")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Row],[Openstelling]],Tb_Openstelling[#Data],2,0)=1,1,""),"")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Row],[Openstelling]],Tb_Openstelling[#Data],2,0)=1,1,""),"")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Row],[Openstelling]],Tb_Openstelling[#Data],2,0)=1,1,""),"")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Row],[Openstelling]],Tb_Openstelling[#Data],2,0)=1,1,""),"")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Row],[Openstelling]],Tb_Openstelling[#Data],2,0)=1,1,""),"")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Row],[Openstelling]],Tb_Openstelling[#Data],2,0)=1,1,""),"")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Row],[Openstelling]],Tb_Openstelling[#Data],2,0)=1,1,""),"")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Row],[Openstelling]],Tb_Openstelling[#Data],2,0)=1,1,""),"")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Row],[Openstelling]],Tb_Openstelling[#Data],2,0)=1,1,""),"")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Row],[Openstelling]],Tb_Openstelling[#Data],2,0)=1,1,""),"")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Row],[Openstelling]],Tb_Openstelling[#Data],2,0)=1,1,""),"")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Row],[Openstelling]],Tb_Openstelling[#Data],2,0)=1,1,""),"")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Row],[Openstelling]],Tb_Openstelling[#Data],2,0)=1,1,""),"")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Row],[Openstelling]],Tb_Openstelling[#Data],2,0)=1,1,""),"")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Row],[Openstelling]],Tb_Openstelling[#Data],2,0)=1,1,""),"")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Row],[Openstelling]],Tb_Openstelling[#Data],2,0)=1,1,""),"")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Row],[Openstelling]],Tb_Openstelling[#Data],2,0)=1,1,""),"")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Row],[Openstelling]],Tb_Openstelling[#Data],2,0)=1,1,""),"")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Row],[Openstelling]],Tb_Openstelling[#Data],2,0)=1,1,""),"")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Row],[Openstelling]],Tb_Openstelling[#Data],2,0)=1,1,""),"")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Row],[Openstelling]],Tb_Openstelling[#Data],2,0)=1,1,""),"")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Row],[Openstelling]],Tb_Openstelling[#Data],2,0)=1,1,""),"")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Row],[Openstelling]],Tb_Openstelling[#Data],2,0)=1,1,""),"")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Row],[Openstelling]],Tb_Openstelling[#Data],2,0)=1,1,""),"")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Row],[Openstelling]],Tb_Openstelling[#Data],2,0)=1,1,""),"")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Row],[Openstelling]],Tb_Openstelling[#Data],2,0)=1,1,""),"")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Row],[Openstelling]],Tb_Openstelling[#Data],2,0)=1,1,""),"")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Row],[Openstelling]],Tb_Openstelling[#Data],2,0)=1,1,""),"")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Row],[Openstelling]],Tb_Openstelling[#Data],2,0)=1,1,""),"")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Row],[Openstelling]],Tb_Openstelling[#Data],2,0)=1,1,""),"")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Row],[Openstelling]],Tb_Openstelling[#Data],2,0)=1,1,""),"")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Row],[Openstelling]],Tb_Openstelling[#Data],2,0)=1,1,""),"")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Row],[Openstelling]],Tb_Openstelling[#Data],2,0)=1,1,""),"")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Row],[Openstelling]],Tb_Openstelling[#Data],2,0)=1,1,""),"")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Row],[Openstelling]],Tb_Openstelling[#Data],2,0)=1,1,""),"")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Row],[Openstelling]],Tb_Openstelling[#Data],2,0)=1,1,""),"")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Row],[Openstelling]],Tb_Openstelling[#Data],2,0)=1,1,""),"")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Row],[Openstelling]],Tb_Openstelling[#Data],2,0)=1,1,""),"")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Row],[Openstelling]],Tb_Openstelling[#Data],2,0)=1,1,""),"")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Row],[Openstelling]],Tb_Openstelling[#Data],2,0)=1,1,""),"")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Row],[Openstelling]],Tb_Openstelling[#Data],2,0)=1,1,""),"")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Row],[Openstelling]],Tb_Openstelling[#Data],2,0)=1,1,""),"")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Row],[Openstelling]],Tb_Openstelling[#Data],2,0)=1,1,""),"")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Row],[Openstelling]],Tb_Openstelling[#Data],2,0)=1,1,""),"")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Row],[Openstelling]],Tb_Openstelling[#Data],2,0)=1,1,""),"")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Row],[Openstelling]],Tb_Openstelling[#Data],2,0)=1,1,""),"")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Row],[Openstelling]],Tb_Openstelling[#Data],2,0)=1,1,""),"")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Row],[Openstelling]],Tb_Openstelling[#Data],2,0)=1,1,""),"")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Row],[Openstelling]],Tb_Openstelling[#Data],2,0)=1,1,""),"")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Row],[Openstelling]],Tb_Openstelling[#Data],2,0)=1,1,""),"")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Row],[Openstelling]],Tb_Openstelling[#Data],2,0)=1,1,""),"")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Row],[Openstelling]],Tb_Openstelling[#Data],2,0)=1,1,""),"")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Row],[Openstelling]],Tb_Openstelling[#Data],2,0)=1,1,""),"")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Row],[Openstelling]],Tb_Openstelling[#Data],2,0)=1,1,""),"")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Row],[Openstelling]],Tb_Openstelling[#Data],2,0)=1,1,""),"")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Row],[Openstelling]],Tb_Openstelling[#Data],2,0)=1,1,""),"")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Row],[Openstelling]],Tb_Openstelling[#Data],2,0)=1,1,""),"")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Row],[Openstelling]],Tb_Openstelling[#Data],2,0)=1,1,""),"")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Row],[Openstelling]],Tb_Openstelling[#Data],2,0)=1,1,""),"")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Row],[Openstelling]],Tb_Openstelling[#Data],2,0)=1,1,""),"")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Row],[Openstelling]],Tb_Openstelling[#Data],2,0)=1,1,""),"")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Row],[Openstelling]],Tb_Openstelling[#Data],2,0)=1,1,""),"")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Row],[Openstelling]],Tb_Openstelling[#Data],2,0)=1,1,""),"")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Row],[Openstelling]],Tb_Openstelling[#Data],2,0)=1,1,""),"")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Row],[Openstelling]],Tb_Openstelling[#Data],2,0)=1,1,""),"")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Row],[Openstelling]],Tb_Openstelling[#Data],2,0)=1,1,""),"")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Row],[Openstelling]],Tb_Openstelling[#Data],2,0)=1,1,""),"")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Row],[Openstelling]],Tb_Openstelling[#Data],2,0)=1,1,""),"")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Row],[Openstelling]],Tb_Openstelling[#Data],2,0)=1,1,""),"")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Row],[Openstelling]],Tb_Openstelling[#Data],2,0)=1,1,""),"")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Row],[Openstelling]],Tb_Openstelling[#Data],2,0)=1,1,""),"")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Row],[Openstelling]],Tb_Openstelling[#Data],2,0)=1,1,""),"")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Row],[Openstelling]],Tb_Openstelling[#Data],2,0)=1,1,""),"")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Row],[Openstelling]],Tb_Openstelling[#Data],2,0)=1,1,""),"")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Row],[Openstelling]],Tb_Openstelling[#Data],2,0)=1,1,""),"")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Row],[Openstelling]],Tb_Openstelling[#Data],2,0)=1,1,""),"")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Row],[Openstelling]],Tb_Openstelling[#Data],2,0)=1,1,""),"")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Row],[Openstelling]],Tb_Openstelling[#Data],2,0)=1,1,""),"")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Row],[Openstelling]],Tb_Openstelling[#Data],2,0)=1,1,""),"")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Row],[Openstelling]],Tb_Openstelling[#Data],2,0)=1,1,""),"")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Row],[Openstelling]],Tb_Openstelling[#Data],2,0)=1,1,""),"")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Row],[Openstelling]],Tb_Openstelling[#Data],2,0)=1,1,""),"")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Row],[Openstelling]],Tb_Openstelling[#Data],2,0)=1,1,""),"")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Row],[Openstelling]],Tb_Openstelling[#Data],2,0)=1,1,""),"")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Row],[Openstelling]],Tb_Openstelling[#Data],2,0)=1,1,""),"")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Row],[Openstelling]],Tb_Openstelling[#Data],2,0)=1,1,""),"")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Row],[Openstelling]],Tb_Openstelling[#Data],2,0)=1,1,""),"")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Row],[Openstelling]],Tb_Openstelling[#Data],2,0)=1,1,""),"")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Row],[Openstelling]],Tb_Openstelling[#Data],2,0)=1,1,""),"")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Row],[Openstelling]],Tb_Openstelling[#Data],2,0)=1,1,""),"")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Row],[Openstelling]],Tb_Openstelling[#Data],2,0)=1,1,""),"")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Row],[Openstelling]],Tb_Openstelling[#Data],2,0)=1,1,""),"")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Row],[Openstelling]],Tb_Openstelling[#Data],2,0)=1,1,""),"")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Row],[Openstelling]],Tb_Openstelling[#Data],2,0)=1,1,""),"")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Row],[Openstelling]],Tb_Openstelling[#Data],2,0)=1,1,""),"")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Row],[Openstelling]],Tb_Openstelling[#Data],2,0)=1,1,""),"")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Row],[Openstelling]],Tb_Openstelling[#Data],2,0)=1,1,""),"")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Row],[Openstelling]],Tb_Openstelling[#Data],2,0)=1,1,""),"")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Row],[Openstelling]],Tb_Openstelling[#Data],2,0)=1,1,""),"")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Row],[Openstelling]],Tb_Openstelling[#Data],2,0)=1,1,""),"")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Row],[Openstelling]],Tb_Openstelling[#Data],2,0)=1,1,""),"")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Row],[Openstelling]],Tb_Openstelling[#Data],2,0)=1,1,""),"")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Row],[Openstelling]],Tb_Openstelling[#Data],2,0)=1,1,""),"")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Row],[Openstelling]],Tb_Openstelling[#Data],2,0)=1,1,""),"")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Row],[Openstelling]],Tb_Openstelling[#Data],2,0)=1,1,""),"")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Row],[Openstelling]],Tb_Openstelling[#Data],2,0)=1,1,""),"")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Row],[Openstelling]],Tb_Openstelling[#Data],2,0)=1,1,""),"")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Row],[Openstelling]],Tb_Openstelling[#Data],2,0)=1,1,""),"")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Row],[Openstelling]],Tb_Openstelling[#Data],2,0)=1,1,""),"")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Row],[Openstelling]],Tb_Openstelling[#Data],2,0)=1,1,""),"")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Row],[Openstelling]],Tb_Openstelling[#Data],2,0)=1,1,""),"")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Row],[Openstelling]],Tb_Openstelling[#Data],2,0)=1,1,""),"")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Row],[Openstelling]],Tb_Openstelling[#Data],2,0)=1,1,""),"")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Row],[Openstelling]],Tb_Openstelling[#Data],2,0)=1,1,""),"")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Row],[Openstelling]],Tb_Openstelling[#Data],2,0)=1,1,""),"")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Row],[Openstelling]],Tb_Openstelling[#Data],2,0)=1,1,""),"")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Row],[Openstelling]],Tb_Openstelling[#Data],2,0)=1,1,""),"")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Row],[Openstelling]],Tb_Openstelling[#Data],2,0)=1,1,""),"")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Row],[Openstelling]],Tb_Openstelling[#Data],2,0)=1,1,""),"")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Row],[Openstelling]],Tb_Openstelling[#Data],2,0)=1,1,""),"")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Row],[Openstelling]],Tb_Openstelling[#Data],2,0)=1,1,""),"")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Row],[Openstelling]],Tb_Openstelling[#Data],2,0)=1,1,""),"")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Row],[Openstelling]],Tb_Openstelling[#Data],2,0)=1,1,""),"")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Row],[Openstelling]],Tb_Openstelling[#Data],2,0)=1,1,""),"")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Row],[Openstelling]],Tb_Openstelling[#Data],2,0)=1,1,""),"")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Row],[Openstelling]],Tb_Openstelling[#Data],2,0)=1,1,""),"")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Row],[Openstelling]],Tb_Openstelling[#Data],2,0)=1,1,""),"")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Row],[Openstelling]],Tb_Openstelling[#Data],2,0)=1,1,""),"")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Row],[Openstelling]],Tb_Openstelling[#Data],2,0)=1,1,""),"")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Row],[Openstelling]],Tb_Openstelling[#Data],2,0)=1,1,""),"")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Row],[Openstelling]],Tb_Openstelling[#Data],2,0)=1,1,""),"")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Row],[Openstelling]],Tb_Openstelling[#Data],2,0)=1,1,""),"")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Row],[Openstelling]],Tb_Openstelling[#Data],2,0)=1,1,""),"")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Row],[Openstelling]],Tb_Openstelling[#Data],2,0)=1,1,""),"")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Row],[Openstelling]],Tb_Openstelling[#Data],2,0)=1,1,""),"")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Row],[Openstelling]],Tb_Openstelling[#Data],2,0)=1,1,""),"")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Row],[Openstelling]],Tb_Openstelling[#Data],2,0)=1,1,""),"")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Row],[Openstelling]],Tb_Openstelling[#Data],2,0)=1,1,""),"")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Row],[Openstelling]],Tb_Openstelling[#Data],2,0)=1,1,""),"")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Row],[Openstelling]],Tb_Openstelling[#Data],2,0)=1,1,""),"")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Row],[Openstelling]],Tb_Openstelling[#Data],2,0)=1,1,""),"")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Row],[Openstelling]],Tb_Openstelling[#Data],2,0)=1,1,""),"")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Row],[Openstelling]],Tb_Openstelling[#Data],2,0)=1,1,""),"")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Row],[Openstelling]],Tb_Openstelling[#Data],2,0)=1,1,""),"")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Row],[Openstelling]],Tb_Openstelling[#Data],2,0)=1,1,""),"")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Row],[Openstelling]],Tb_Openstelling[#Data],2,0)=1,1,""),"")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Row],[Openstelling]],Tb_Openstelling[#Data],2,0)=1,1,""),"")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Row],[Openstelling]],Tb_Openstelling[#Data],2,0)=1,1,""),"")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Row],[Openstelling]],Tb_Openstelling[#Data],2,0)=1,1,""),"")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Row],[Openstelling]],Tb_Openstelling[#Data],2,0)=1,1,""),"")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Row],[Openstelling]],Tb_Openstelling[#Data],2,0)=1,1,""),"")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Row],[Openstelling]],Tb_Openstelling[#Data],2,0)=1,1,""),"")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Row],[Openstelling]],Tb_Openstelling[#Data],2,0)=1,1,""),"")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Row],[Openstelling]],Tb_Openstelling[#Data],2,0)=1,1,""),"")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Row],[Openstelling]],Tb_Openstelling[#Data],2,0)=1,1,""),"")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Row],[Openstelling]],Tb_Openstelling[#Data],2,0)=1,1,""),"")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Row],[Openstelling]],Tb_Openstelling[#Data],2,0)=1,1,""),"")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Row],[Openstelling]],Tb_Openstelling[#Data],2,0)=1,1,""),"")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Row],[Openstelling]],Tb_Openstelling[#Data],2,0)=1,1,""),"")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Row],[Openstelling]],Tb_Openstelling[#Data],2,0)=1,1,""),"")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Row],[Openstelling]],Tb_Openstelling[#Data],2,0)=1,1,""),"")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Row],[Openstelling]],Tb_Openstelling[#Data],2,0)=1,1,""),"")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Row],[Openstelling]],Tb_Openstelling[#Data],2,0)=1,1,""),"")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Row],[Openstelling]],Tb_Openstelling[#Data],2,0)=1,1,""),"")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Row],[Openstelling]],Tb_Openstelling[#Data],2,0)=1,1,""),"")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Row],[Openstelling]],Tb_Openstelling[#Data],2,0)=1,1,""),"")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Row],[Openstelling]],Tb_Openstelling[#Data],2,0)=1,1,""),"")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Row],[Openstelling]],Tb_Openstelling[#Data],2,0)=1,1,""),"")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Row],[Openstelling]],Tb_Openstelling[#Data],2,0)=1,1,""),"")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Row],[Openstelling]],Tb_Openstelling[#Data],2,0)=1,1,""),"")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Row],[Openstelling]],Tb_Openstelling[#Data],2,0)=1,1,""),"")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Row],[Openstelling]],Tb_Openstelling[#Data],2,0)=1,1,""),"")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Row],[Openstelling]],Tb_Openstelling[#Data],2,0)=1,1,""),"")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Row],[Openstelling]],Tb_Openstelling[#Data],2,0)=1,1,""),"")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Row],[Openstelling]],Tb_Openstelling[#Data],2,0)=1,1,""),"")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Row],[Openstelling]],Tb_Openstelling[#Data],2,0)=1,1,""),"")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Row],[Openstelling]],Tb_Openstelling[#Data],2,0)=1,1,""),"")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Row],[Openstelling]],Tb_Openstelling[#Data],2,0)=1,1,""),"")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Row],[Openstelling]],Tb_Openstelling[#Data],2,0)=1,1,""),"")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Row],[Openstelling]],Tb_Openstelling[#Data],2,0)=1,1,""),"")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Row],[Openstelling]],Tb_Openstelling[#Data],2,0)=1,1,""),"")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Row],[Openstelling]],Tb_Openstelling[#Data],2,0)=1,1,""),"")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Row],[Openstelling]],Tb_Openstelling[#Data],2,0)=1,1,""),"")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Row],[Openstelling]],Tb_Openstelling[#Data],2,0)=1,1,""),"")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Row],[Openstelling]],Tb_Openstelling[#Data],2,0)=1,1,""),"")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Row],[Openstelling]],Tb_Openstelling[#Data],2,0)=1,1,""),"")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Row],[Openstelling]],Tb_Openstelling[#Data],2,0)=1,1,""),"")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Row],[Openstelling]],Tb_Openstelling[#Data],2,0)=1,1,""),"")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Row],[Openstelling]],Tb_Openstelling[#Data],2,0)=1,1,""),"")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Row],[Openstelling]],Tb_Openstelling[#Data],2,0)=1,1,""),"")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Row],[Openstelling]],Tb_Openstelling[#Data],2,0)=1,1,""),"")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Row],[Openstelling]],Tb_Openstelling[#Data],2,0)=1,1,""),"")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Row],[Openstelling]],Tb_Openstelling[#Data],2,0)=1,1,""),"")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Row],[Openstelling]],Tb_Openstelling[#Data],2,0)=1,1,""),"")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Row],[Openstelling]],Tb_Openstelling[#Data],2,0)=1,1,""),"")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Row],[Openstelling]],Tb_Openstelling[#Data],2,0)=1,1,""),"")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Row],[Openstelling]],Tb_Openstelling[#Data],2,0)=1,1,""),"")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Row],[Openstelling]],Tb_Openstelling[#Data],2,0)=1,1,""),"")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Row],[Openstelling]],Tb_Openstelling[#Data],2,0)=1,1,""),"")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Row],[Openstelling]],Tb_Openstelling[#Data],2,0)=1,1,""),"")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Row],[Openstelling]],Tb_Openstelling[#Data],2,0)=1,1,""),"")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Row],[Openstelling]],Tb_Openstelling[#Data],2,0)=1,1,""),"")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Row],[Openstelling]],Tb_Openstelling[#Data],2,0)=1,1,""),"")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Row],[Openstelling]],Tb_Openstelling[#Data],2,0)=1,1,""),"")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Row],[Openstelling]],Tb_Openstelling[#Data],2,0)=1,1,""),"")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Row],[Openstelling]],Tb_Openstelling[#Data],2,0)=1,1,""),"")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Row],[Openstelling]],Tb_Openstelling[#Data],2,0)=1,1,""),"")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Row],[Openstelling]],Tb_Openstelling[#Data],2,0)=1,1,""),"")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Row],[Openstelling]],Tb_Openstelling[#Data],2,0)=1,1,""),"")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Row],[Openstelling]],Tb_Openstelling[#Data],2,0)=1,1,""),"")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Row],[Openstelling]],Tb_Openstelling[#Data],2,0)=1,1,""),"")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Row],[Openstelling]],Tb_Openstelling[#Data],2,0)=1,1,""),"")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Row],[Openstelling]],Tb_Openstelling[#Data],2,0)=1,1,""),"")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Row],[Openstelling]],Tb_Openstelling[#Data],2,0)=1,1,""),"")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Row],[Openstelling]],Tb_Openstelling[#Data],2,0)=1,1,""),"")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Row],[Openstelling]],Tb_Openstelling[#Data],2,0)=1,1,""),"")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Row],[Openstelling]],Tb_Openstelling[#Data],2,0)=1,1,""),"")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Row],[Openstelling]],Tb_Openstelling[#Data],2,0)=1,1,""),"")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Row],[Openstelling]],Tb_Openstelling[#Data],2,0)=1,1,""),"")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Row],[Openstelling]],Tb_Openstelling[#Data],2,0)=1,1,""),"")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Row],[Openstelling]],Tb_Openstelling[#Data],2,0)=1,1,""),"")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Row],[Openstelling]],Tb_Openstelling[#Data],2,0)=1,1,""),"")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Row],[Openstelling]],Tb_Openstelling[#Data],2,0)=1,1,""),"")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Row],[Openstelling]],Tb_Openstelling[#Data],2,0)=1,1,""),"")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Row],[Openstelling]],Tb_Openstelling[#Data],2,0)=1,1,""),"")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Row],[Openstelling]],Tb_Openstelling[#Data],2,0)=1,1,""),"")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Row],[Openstelling]],Tb_Openstelling[#Data],2,0)=1,1,""),"")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Row],[Openstelling]],Tb_Openstelling[#Data],2,0)=1,1,""),"")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Row],[Openstelling]],Tb_Openstelling[#Data],2,0)=1,1,""),"")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Row],[Openstelling]],Tb_Openstelling[#Data],2,0)=1,1,""),"")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Row],[Openstelling]],Tb_Openstelling[#Data],2,0)=1,1,""),"")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Row],[Openstelling]],Tb_Openstelling[#Data],2,0)=1,1,""),"")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Row],[Openstelling]],Tb_Openstelling[#Data],2,0)=1,1,""),"")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Row],[Openstelling]],Tb_Openstelling[#Data],2,0)=1,1,""),"")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Row],[Openstelling]],Tb_Openstelling[#Data],2,0)=1,1,""),"")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Row],[Openstelling]],Tb_Openstelling[#Data],2,0)=1,1,""),"")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Row],[Openstelling]],Tb_Openstelling[#Data],2,0)=1,1,""),"")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Row],[Openstelling]],Tb_Openstelling[#Data],2,0)=1,1,""),"")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Row],[Openstelling]],Tb_Openstelling[#Data],2,0)=1,1,""),"")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Row],[Openstelling]],Tb_Openstelling[#Data],2,0)=1,1,""),"")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Row],[Openstelling]],Tb_Openstelling[#Data],2,0)=1,1,""),"")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Row],[Openstelling]],Tb_Openstelling[#Data],2,0)=1,1,""),"")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Row],[Openstelling]],Tb_Openstelling[#Data],2,0)=1,1,""),"")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Row],[Openstelling]],Tb_Openstelling[#Data],2,0)=1,1,""),"")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Row],[Openstelling]],Tb_Openstelling[#Data],2,0)=1,1,""),"")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Row],[Openstelling]],Tb_Openstelling[#Data],2,0)=1,1,""),"")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Row],[Openstelling]],Tb_Openstelling[#Data],2,0)=1,1,""),"")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Row],[Openstelling]],Tb_Openstelling[#Data],2,0)=1,1,""),"")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Row],[Openstelling]],Tb_Openstelling[#Data],2,0)=1,1,""),"")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Row],[Openstelling]],Tb_Openstelling[#Data],2,0)=1,1,""),"")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Row],[Openstelling]],Tb_Openstelling[#Data],2,0)=1,1,""),"")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Row],[Openstelling]],Tb_Openstelling[#Data],2,0)=1,1,""),"")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Row],[Openstelling]],Tb_Openstelling[#Data],2,0)=1,1,""),"")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Row],[Openstelling]],Tb_Openstelling[#Data],2,0)=1,1,""),"")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Row],[Openstelling]],Tb_Openstelling[#Data],2,0)=1,1,""),"")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Row],[Openstelling]],Tb_Openstelling[#Data],2,0)=1,1,""),"")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Row],[Openstelling]],Tb_Openstelling[#Data],2,0)=1,1,""),"")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Row],[Openstelling]],Tb_Openstelling[#Data],2,0)=1,1,""),"")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Row],[Openstelling]],Tb_Openstelling[#Data],2,0)=1,1,""),"")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Row],[Openstelling]],Tb_Openstelling[#Data],2,0)=1,1,""),"")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Row],[Openstelling]],Tb_Openstelling[#Data],2,0)=1,1,""),"")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Row],[Openstelling]],Tb_Openstelling[#Data],2,0)=1,1,""),"")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Row],[Openstelling]],Tb_Openstelling[#Data],2,0)=1,1,""),"")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Row],[Openstelling]],Tb_Openstelling[#Data],2,0)=1,1,""),"")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Row],[Openstelling]],Tb_Openstelling[#Data],2,0)=1,1,""),"")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Row],[Openstelling]],Tb_Openstelling[#Data],2,0)=1,1,""),"")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Row],[Openstelling]],Tb_Openstelling[#Data],2,0)=1,1,""),"")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Row],[Openstelling]],Tb_Openstelling[#Data],2,0)=1,1,""),"")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Row],[Openstelling]],Tb_Openstelling[#Data],2,0)=1,1,""),"")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Row],[Openstelling]],Tb_Openstelling[#Data],2,0)=1,1,""),"")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Row],[Openstelling]],Tb_Openstelling[#Data],2,0)=1,1,""),"")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Row],[Openstelling]],Tb_Openstelling[#Data],2,0)=1,1,""),"")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Row],[Openstelling]],Tb_Openstelling[#Data],2,0)=1,1,""),"")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Row],[Openstelling]],Tb_Openstelling[#Data],2,0)=1,1,""),"")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Row],[Openstelling]],Tb_Openstelling[#Data],2,0)=1,1,""),"")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Row],[Openstelling]],Tb_Openstelling[#Data],2,0)=1,1,""),"")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Row],[Openstelling]],Tb_Openstelling[#Data],2,0)=1,1,""),"")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Row],[Openstelling]],Tb_Openstelling[#Data],2,0)=1,1,""),"")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Row],[Openstelling]],Tb_Openstelling[#Data],2,0)=1,1,""),"")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Row],[Openstelling]],Tb_Openstelling[#Data],2,0)=1,1,""),"")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Row],[Openstelling]],Tb_Openstelling[#Data],2,0)=1,1,""),"")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Row],[Openstelling]],Tb_Openstelling[#Data],2,0)=1,1,""),"")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Row],[Openstelling]],Tb_Openstelling[#Data],2,0)=1,1,""),"")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Row],[Openstelling]],Tb_Openstelling[#Data],2,0)=1,1,""),"")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Row],[Openstelling]],Tb_Openstelling[#Data],2,0)=1,1,""),"")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Row],[Openstelling]],Tb_Openstelling[#Data],2,0)=1,1,""),"")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Row],[Openstelling]],Tb_Openstelling[#Data],2,0)=1,1,""),"")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Row],[Openstelling]],Tb_Openstelling[#Data],2,0)=1,1,""),"")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Row],[Openstelling]],Tb_Openstelling[#Data],2,0)=1,1,""),"")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Row],[Openstelling]],Tb_Openstelling[#Data],2,0)=1,1,""),"")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Row],[Openstelling]],Tb_Openstelling[#Data],2,0)=1,1,""),"")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Row],[Openstelling]],Tb_Openstelling[#Data],2,0)=1,1,""),"")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Row],[Openstelling]],Tb_Openstelling[#Data],2,0)=1,1,""),"")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Row],[Openstelling]],Tb_Openstelling[#Data],2,0)=1,1,""),"")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Row],[Openstelling]],Tb_Openstelling[#Data],2,0)=1,1,""),"")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Row],[Openstelling]],Tb_Openstelling[#Data],2,0)=1,1,""),"")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Row],[Openstelling]],Tb_Openstelling[#Data],2,0)=1,1,""),"")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Row],[Openstelling]],Tb_Openstelling[#Data],2,0)=1,1,""),"")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Row],[Openstelling]],Tb_Openstelling[#Data],2,0)=1,1,""),"")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Row],[Openstelling]],Tb_Openstelling[#Data],2,0)=1,1,""),"")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Row],[Openstelling]],Tb_Openstelling[#Data],2,0)=1,1,""),"")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Row],[Openstelling]],Tb_Openstelling[#Data],2,0)=1,1,""),"")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Row],[Openstelling]],Tb_Openstelling[#Data],2,0)=1,1,""),"")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Row],[Openstelling]],Tb_Openstelling[#Data],2,0)=1,1,""),"")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Row],[Openstelling]],Tb_Openstelling[#Data],2,0)=1,1,""),"")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Row],[Openstelling]],Tb_Openstelling[#Data],2,0)=1,1,""),"")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Row],[Openstelling]],Tb_Openstelling[#Data],2,0)=1,1,""),"")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Row],[Openstelling]],Tb_Openstelling[#Data],2,0)=1,1,""),"")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Row],[Openstelling]],Tb_Openstelling[#Data],2,0)=1,1,""),"")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Row],[Openstelling]],Tb_Openstelling[#Data],2,0)=1,1,""),"")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Row],[Openstelling]],Tb_Openstelling[#Data],2,0)=1,1,""),"")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Row],[Openstelling]],Tb_Openstelling[#Data],2,0)=1,1,""),"")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Row],[Openstelling]],Tb_Openstelling[#Data],2,0)=1,1,""),"")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Row],[Openstelling]],Tb_Openstelling[#Data],2,0)=1,1,""),"")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Row],[Openstelling]],Tb_Openstelling[#Data],2,0)=1,1,""),"")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Row],[Openstelling]],Tb_Openstelling[#Data],2,0)=1,1,""),"")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Row],[Openstelling]],Tb_Openstelling[#Data],2,0)=1,1,""),"")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Row],[Openstelling]],Tb_Openstelling[#Data],2,0)=1,1,""),"")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Row],[Openstelling]],Tb_Openstelling[#Data],2,0)=1,1,""),"")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Row],[Openstelling]],Tb_Openstelling[#Data],2,0)=1,1,""),"")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Row],[Openstelling]],Tb_Openstelling[#Data],2,0)=1,1,""),"")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Row],[Openstelling]],Tb_Openstelling[#Data],2,0)=1,1,""),"")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Row],[Openstelling]],Tb_Openstelling[#Data],2,0)=1,1,""),"")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Row],[Openstelling]],Tb_Openstelling[#Data],2,0)=1,1,""),"")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Row],[Openstelling]],Tb_Openstelling[#Data],2,0)=1,1,""),"")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Row],[Openstelling]],Tb_Openstelling[#Data],2,0)=1,1,""),"")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Row],[Openstelling]],Tb_Openstelling[#Data],2,0)=1,1,""),"")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Row],[Openstelling]],Tb_Openstelling[#Data],2,0)=1,1,""),"")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Row],[Openstelling]],Tb_Openstelling[#Data],2,0)=1,1,""),"")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Row],[Openstelling]],Tb_Openstelling[#Data],2,0)=1,1,""),"")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Row],[Openstelling]],Tb_Openstelling[#Data],2,0)=1,1,""),"")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Row],[Openstelling]],Tb_Openstelling[#Data],2,0)=1,1,""),"")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Row],[Openstelling]],Tb_Openstelling[#Data],2,0)=1,1,""),"")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Row],[Openstelling]],Tb_Openstelling[#Data],2,0)=1,1,""),"")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Row],[Openstelling]],Tb_Openstelling[#Data],2,0)=1,1,""),"")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Row],[Openstelling]],Tb_Openstelling[#Data],2,0)=1,1,""),"")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Row],[Openstelling]],Tb_Openstelling[#Data],2,0)=1,1,""),"")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Row],[Openstelling]],Tb_Openstelling[#Data],2,0)=1,1,""),"")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Row],[Openstelling]],Tb_Openstelling[#Data],2,0)=1,1,""),"")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Row],[Openstelling]],Tb_Openstelling[#Data],2,0)=1,1,""),"")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Row],[Openstelling]],Tb_Openstelling[#Data],2,0)=1,1,""),"")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Row],[Openstelling]],Tb_Openstelling[#Data],2,0)=1,1,""),"")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Row],[Openstelling]],Tb_Openstelling[#Data],2,0)=1,1,""),"")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Row],[Openstelling]],Tb_Openstelling[#Data],2,0)=1,1,""),"")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Row],[Openstelling]],Tb_Openstelling[#Data],2,0)=1,1,""),"")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Row],[Openstelling]],Tb_Openstelling[#Data],2,0)=1,1,""),"")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Row],[Openstelling]],Tb_Openstelling[#Data],2,0)=1,1,""),"")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Row],[Openstelling]],Tb_Openstelling[#Data],2,0)=1,1,""),"")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Row],[Openstelling]],Tb_Openstelling[#Data],2,0)=1,1,""),"")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Row],[Openstelling]],Tb_Openstelling[#Data],2,0)=1,1,""),"")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Row],[Openstelling]],Tb_Openstelling[#Data],2,0)=1,1,""),"")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Row],[Openstelling]],Tb_Openstelling[#Data],2,0)=1,1,""),"")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Row],[Openstelling]],Tb_Openstelling[#Data],2,0)=1,1,""),"")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Row],[Openstelling]],Tb_Openstelling[#Data],2,0)=1,1,""),"")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Row],[Openstelling]],Tb_Openstelling[#Data],2,0)=1,1,""),"")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Row],[Openstelling]],Tb_Openstelling[#Data],2,0)=1,1,""),"")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Row],[Openstelling]],Tb_Openstelling[#Data],2,0)=1,1,""),"")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Row],[Openstelling]],Tb_Openstelling[#Data],2,0)=1,1,""),"")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Row],[Openstelling]],Tb_Openstelling[#Data],2,0)=1,1,""),"")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Row],[Openstelling]],Tb_Openstelling[#Data],2,0)=1,1,""),"")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Row],[Openstelling]],Tb_Openstelling[#Data],2,0)=1,1,""),"")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Row],[Openstelling]],Tb_Openstelling[#Data],2,0)=1,1,""),"")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Row],[Openstelling]],Tb_Openstelling[#Data],2,0)=1,1,""),"")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Row],[Openstelling]],Tb_Openstelling[#Data],2,0)=1,1,""),"")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Row],[Openstelling]],Tb_Openstelling[#Data],2,0)=1,1,""),"")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Row],[Openstelling]],Tb_Openstelling[#Data],2,0)=1,1,""),"")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Row],[Openstelling]],Tb_Openstelling[#Data],2,0)=1,1,""),"")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Row],[Openstelling]],Tb_Openstelling[#Data],2,0)=1,1,""),"")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Row],[Openstelling]],Tb_Openstelling[#Data],2,0)=1,1,""),"")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Row],[Openstelling]],Tb_Openstelling[#Data],2,0)=1,1,""),"")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Row],[Openstelling]],Tb_Openstelling[#Data],2,0)=1,1,""),"")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Row],[Openstelling]],Tb_Openstelling[#Data],2,0)=1,1,""),"")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Row],[Openstelling]],Tb_Openstelling[#Data],2,0)=1,1,""),"")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Row],[Openstelling]],Tb_Openstelling[#Data],2,0)=1,1,""),"")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Row],[Openstelling]],Tb_Openstelling[#Data],2,0)=1,1,""),"")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Row],[Openstelling]],Tb_Openstelling[#Data],2,0)=1,1,""),"")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Row],[Openstelling]],Tb_Openstelling[#Data],2,0)=1,1,""),"")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Row],[Openstelling]],Tb_Openstelling[#Data],2,0)=1,1,""),"")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Row],[Openstelling]],Tb_Openstelling[#Data],2,0)=1,1,""),"")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Row],[Openstelling]],Tb_Openstelling[#Data],2,0)=1,1,""),"")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Row],[Openstelling]],Tb_Openstelling[#Data],2,0)=1,1,""),"")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Row],[Openstelling]],Tb_Openstelling[#Data],2,0)=1,1,""),"")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Row],[Openstelling]],Tb_Openstelling[#Data],2,0)=1,1,""),"")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Row],[Openstelling]],Tb_Openstelling[#Data],2,0)=1,1,""),"")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Row],[Openstelling]],Tb_Openstelling[#Data],2,0)=1,1,""),"")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Row],[Openstelling]],Tb_Openstelling[#Data],2,0)=1,1,""),"")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Row],[Openstelling]],Tb_Openstelling[#Data],2,0)=1,1,""),"")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Row],[Openstelling]],Tb_Openstelling[#Data],2,0)=1,1,""),"")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Row],[Openstelling]],Tb_Openstelling[#Data],2,0)=1,1,""),"")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Row],[Openstelling]],Tb_Openstelling[#Data],2,0)=1,1,""),"")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Row],[Openstelling]],Tb_Openstelling[#Data],2,0)=1,1,""),"")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Row],[Openstelling]],Tb_Openstelling[#Data],2,0)=1,1,""),"")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Row],[Openstelling]],Tb_Openstelling[#Data],2,0)=1,1,""),"")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Row],[Openstelling]],Tb_Openstelling[#Data],2,0)=1,1,""),"")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Row],[Openstelling]],Tb_Openstelling[#Data],2,0)=1,1,""),"")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Row],[Openstelling]],Tb_Openstelling[#Data],2,0)=1,1,""),"")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Row],[Openstelling]],Tb_Openstelling[#Data],2,0)=1,1,""),"")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Row],[Openstelling]],Tb_Openstelling[#Data],2,0)=1,1,""),"")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Row],[Openstelling]],Tb_Openstelling[#Data],2,0)=1,1,""),"")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Row],[Openstelling]],Tb_Openstelling[#Data],2,0)=1,1,""),"")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Row],[Openstelling]],Tb_Openstelling[#Data],2,0)=1,1,""),"")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Row],[Openstelling]],Tb_Openstelling[#Data],2,0)=1,1,""),"")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Row],[Openstelling]],Tb_Openstelling[#Data],2,0)=1,1,""),"")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Row],[Openstelling]],Tb_Openstelling[#Data],2,0)=1,1,""),"")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Row],[Openstelling]],Tb_Openstelling[#Data],2,0)=1,1,""),"")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Row],[Openstelling]],Tb_Openstelling[#Data],2,0)=1,1,""),"")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Row],[Openstelling]],Tb_Openstelling[#Data],2,0)=1,1,""),"")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Row],[Openstelling]],Tb_Openstelling[#Data],2,0)=1,1,""),"")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Row],[Openstelling]],Tb_Openstelling[#Data],2,0)=1,1,""),"")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Row],[Openstelling]],Tb_Openstelling[#Data],2,0)=1,1,""),"")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Row],[Openstelling]],Tb_Openstelling[#Data],2,0)=1,1,""),"")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Row],[Openstelling]],Tb_Openstelling[#Data],2,0)=1,1,""),"")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Row],[Openstelling]],Tb_Openstelling[#Data],2,0)=1,1,""),"")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Row],[Openstelling]],Tb_Openstelling[#Data],2,0)=1,1,""),"")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Row],[Openstelling]],Tb_Openstelling[#Data],2,0)=1,1,""),"")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Row],[Openstelling]],Tb_Openstelling[#Data],2,0)=1,1,""),"")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Row],[Openstelling]],Tb_Openstelling[#Data],2,0)=1,1,""),"")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Row],[Openstelling]],Tb_Openstelling[#Data],2,0)=1,1,""),"")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Row],[Openstelling]],Tb_Openstelling[#Data],2,0)=1,1,""),"")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Row],[Openstelling]],Tb_Openstelling[#Data],2,0)=1,1,""),"")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Row],[Openstelling]],Tb_Openstelling[#Data],2,0)=1,1,""),"")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Row],[Openstelling]],Tb_Openstelling[#Data],2,0)=1,1,""),"")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Row],[Openstelling]],Tb_Openstelling[#Data],2,0)=1,1,""),"")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Row],[Openstelling]],Tb_Openstelling[#Data],2,0)=1,1,""),"")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Row],[Openstelling]],Tb_Openstelling[#Data],2,0)=1,1,""),"")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Row],[Openstelling]],Tb_Openstelling[#Data],2,0)=1,1,""),"")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Row],[Openstelling]],Tb_Openstelling[#Data],2,0)=1,1,""),"")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Row],[Openstelling]],Tb_Openstelling[#Data],2,0)=1,1,""),"")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Row],[Openstelling]],Tb_Openstelling[#Data],2,0)=1,1,""),"")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Row],[Openstelling]],Tb_Openstelling[#Data],2,0)=1,1,""),"")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Row],[Openstelling]],Tb_Openstelling[#Data],2,0)=1,1,""),"")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Row],[Openstelling]],Tb_Openstelling[#Data],2,0)=1,1,""),"")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Row],[Openstelling]],Tb_Openstelling[#Data],2,0)=1,1,""),"")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Row],[Openstelling]],Tb_Openstelling[#Data],2,0)=1,1,""),"")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Row],[Openstelling]],Tb_Openstelling[#Data],2,0)=1,1,""),"")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Row],[Openstelling]],Tb_Openstelling[#Data],2,0)=1,1,""),"")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Row],[Openstelling]],Tb_Openstelling[#Data],2,0)=1,1,""),"")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Row],[Openstelling]],Tb_Openstelling[#Data],2,0)=1,1,""),"")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Row],[Openstelling]],Tb_Openstelling[#Data],2,0)=1,1,""),"")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Row],[Openstelling]],Tb_Openstelling[#Data],2,0)=1,1,""),"")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Row],[Openstelling]],Tb_Openstelling[#Data],2,0)=1,1,""),"")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Row],[Openstelling]],Tb_Openstelling[#Data],2,0)=1,1,""),"")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Row],[Openstelling]],Tb_Openstelling[#Data],2,0)=1,1,""),"")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Row],[Openstelling]],Tb_Openstelling[#Data],2,0)=1,1,""),"")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Row],[Openstelling]],Tb_Openstelling[#Data],2,0)=1,1,""),"")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Row],[Openstelling]],Tb_Openstelling[#Data],2,0)=1,1,""),"")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Row],[Openstelling]],Tb_Openstelling[#Data],2,0)=1,1,""),"")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Row],[Openstelling]],Tb_Openstelling[#Data],2,0)=1,1,""),"")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Row],[Openstelling]],Tb_Openstelling[#Data],2,0)=1,1,""),"")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Row],[Openstelling]],Tb_Openstelling[#Data],2,0)=1,1,""),"")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Row],[Openstelling]],Tb_Openstelling[#Data],2,0)=1,1,""),"")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Row],[Openstelling]],Tb_Openstelling[#Data],2,0)=1,1,""),"")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Row],[Openstelling]],Tb_Openstelling[#Data],2,0)=1,1,""),"")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Row],[Openstelling]],Tb_Openstelling[#Data],2,0)=1,1,""),"")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Row],[Openstelling]],Tb_Openstelling[#Data],2,0)=1,1,""),"")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Row],[Openstelling]],Tb_Openstelling[#Data],2,0)=1,1,""),"")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Row],[Openstelling]],Tb_Openstelling[#Data],2,0)=1,1,""),"")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Row],[Openstelling]],Tb_Openstelling[#Data],2,0)=1,1,""),"")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Row],[Openstelling]],Tb_Openstelling[#Data],2,0)=1,1,""),"")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Row],[Openstelling]],Tb_Openstelling[#Data],2,0)=1,1,""),"")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Row],[Openstelling]],Tb_Openstelling[#Data],2,0)=1,1,""),"")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Row],[Openstelling]],Tb_Openstelling[#Data],2,0)=1,1,""),"")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Row],[Openstelling]],Tb_Openstelling[#Data],2,0)=1,1,""),"")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Row],[Openstelling]],Tb_Openstelling[#Data],2,0)=1,1,""),"")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Row],[Openstelling]],Tb_Openstelling[#Data],2,0)=1,1,""),"")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Row],[Openstelling]],Tb_Openstelling[#Data],2,0)=1,1,""),"")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Row],[Openstelling]],Tb_Openstelling[#Data],2,0)=1,1,""),"")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Row],[Openstelling]],Tb_Openstelling[#Data],2,0)=1,1,""),"")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Row],[Openstelling]],Tb_Openstelling[#Data],2,0)=1,1,""),"")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Row],[Openstelling]],Tb_Openstelling[#Data],2,0)=1,1,""),"")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Row],[Openstelling]],Tb_Openstelling[#Data],2,0)=1,1,""),"")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Row],[Openstelling]],Tb_Openstelling[#Data],2,0)=1,1,""),"")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Row],[Openstelling]],Tb_Openstelling[#Data],2,0)=1,1,""),"")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Row],[Openstelling]],Tb_Openstelling[#Data],2,0)=1,1,""),"")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Row],[Openstelling]],Tb_Openstelling[#Data],2,0)=1,1,""),"")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Row],[Openstelling]],Tb_Openstelling[#Data],2,0)=1,1,""),"")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Row],[Openstelling]],Tb_Openstelling[#Data],2,0)=1,1,""),"")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Row],[Openstelling]],Tb_Openstelling[#Data],2,0)=1,1,""),"")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Row],[Openstelling]],Tb_Openstelling[#Data],2,0)=1,1,""),"")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Row],[Openstelling]],Tb_Openstelling[#Data],2,0)=1,1,""),"")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Row],[Openstelling]],Tb_Openstelling[#Data],2,0)=1,1,""),"")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Row],[Openstelling]],Tb_Openstelling[#Data],2,0)=1,1,""),"")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Row],[Openstelling]],Tb_Openstelling[#Data],2,0)=1,1,""),"")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Row],[Openstelling]],Tb_Openstelling[#Data],2,0)=1,1,""),"")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Row],[Openstelling]],Tb_Openstelling[#Data],2,0)=1,1,""),"")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Row],[Openstelling]],Tb_Openstelling[#Data],2,0)=1,1,""),"")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Row],[Openstelling]],Tb_Openstelling[#Data],2,0)=1,1,""),"")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Row],[Openstelling]],Tb_Openstelling[#Data],2,0)=1,1,""),"")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Row],[Openstelling]],Tb_Openstelling[#Data],2,0)=1,1,""),"")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Row],[Openstelling]],Tb_Openstelling[#Data],2,0)=1,1,""),"")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Row],[Openstelling]],Tb_Openstelling[#Data],2,0)=1,1,""),"")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Row],[Openstelling]],Tb_Openstelling[#Data],2,0)=1,1,""),"")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Row],[Openstelling]],Tb_Openstelling[#Data],2,0)=1,1,""),"")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Row],[Openstelling]],Tb_Openstelling[#Data],2,0)=1,1,""),"")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Row],[Openstelling]],Tb_Openstelling[#Data],2,0)=1,1,""),"")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Row],[Openstelling]],Tb_Openstelling[#Data],2,0)=1,1,""),"")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Row],[Openstelling]],Tb_Openstelling[#Data],2,0)=1,1,""),"")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Row],[Openstelling]],Tb_Openstelling[#Data],2,0)=1,1,""),"")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Row],[Openstelling]],Tb_Openstelling[#Data],2,0)=1,1,""),"")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Row],[Openstelling]],Tb_Openstelling[#Data],2,0)=1,1,""),"")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Row],[Openstelling]],Tb_Openstelling[#Data],2,0)=1,1,""),"")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Row],[Openstelling]],Tb_Openstelling[#Data],2,0)=1,1,""),"")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Row],[Openstelling]],Tb_Openstelling[#Data],2,0)=1,1,""),"")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Row],[Openstelling]],Tb_Openstelling[#Data],2,0)=1,1,""),"")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Row],[Openstelling]],Tb_Openstelling[#Data],2,0)=1,1,""),"")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Row],[Openstelling]],Tb_Openstelling[#Data],2,0)=1,1,""),"")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Row],[Openstelling]],Tb_Openstelling[#Data],2,0)=1,1,""),"")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Row],[Openstelling]],Tb_Openstelling[#Data],2,0)=1,1,""),"")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Row],[Openstelling]],Tb_Openstelling[#Data],2,0)=1,1,""),"")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Row],[Openstelling]],Tb_Openstelling[#Data],2,0)=1,1,""),"")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Row],[Openstelling]],Tb_Openstelling[#Data],2,0)=1,1,""),"")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Row],[Openstelling]],Tb_Openstelling[#Data],2,0)=1,1,""),"")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Row],[Openstelling]],Tb_Openstelling[#Data],2,0)=1,1,""),"")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Row],[Openstelling]],Tb_Openstelling[#Data],2,0)=1,1,""),"")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Row],[Openstelling]],Tb_Openstelling[#Data],2,0)=1,1,""),"")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Row],[Openstelling]],Tb_Openstelling[#Data],2,0)=1,1,""),"")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Row],[Openstelling]],Tb_Openstelling[#Data],2,0)=1,1,""),"")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Row],[Openstelling]],Tb_Openstelling[#Data],2,0)=1,1,""),"")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Row],[Openstelling]],Tb_Openstelling[#Data],2,0)=1,1,""),"")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Row],[Openstelling]],Tb_Openstelling[#Data],2,0)=1,1,""),"")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Row],[Openstelling]],Tb_Openstelling[#Data],2,0)=1,1,""),"")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Row],[Openstelling]],Tb_Openstelling[#Data],2,0)=1,1,""),"")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Row],[Openstelling]],Tb_Openstelling[#Data],2,0)=1,1,""),"")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Row],[Openstelling]],Tb_Openstelling[#Data],2,0)=1,1,""),"")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Row],[Openstelling]],Tb_Openstelling[#Data],2,0)=1,1,""),"")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Row],[Openstelling]],Tb_Openstelling[#Data],2,0)=1,1,""),"")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Row],[Openstelling]],Tb_Openstelling[#Data],2,0)=1,1,""),"")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Row],[Openstelling]],Tb_Openstelling[#Data],2,0)=1,1,""),"")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Row],[Openstelling]],Tb_Openstelling[#Data],2,0)=1,1,""),"")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Row],[Openstelling]],Tb_Openstelling[#Data],2,0)=1,1,""),"")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Row],[Openstelling]],Tb_Openstelling[#Data],2,0)=1,1,""),"")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Row],[Openstelling]],Tb_Openstelling[#Data],2,0)=1,1,""),"")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Row],[Openstelling]],Tb_Openstelling[#Data],2,0)=1,1,""),"")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Row],[Openstelling]],Tb_Openstelling[#Data],2,0)=1,1,""),"")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Row],[Openstelling]],Tb_Openstelling[#Data],2,0)=1,1,""),"")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Row],[Openstelling]],Tb_Openstelling[#Data],2,0)=1,1,""),"")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Row],[Openstelling]],Tb_Openstelling[#Data],2,0)=1,1,""),"")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Row],[Openstelling]],Tb_Openstelling[#Data],2,0)=1,1,""),"")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Row],[Openstelling]],Tb_Openstelling[#Data],2,0)=1,1,""),"")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Row],[Openstelling]],Tb_Openstelling[#Data],2,0)=1,1,""),"")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Row],[Openstelling]],Tb_Openstelling[#Data],2,0)=1,1,""),"")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Row],[Openstelling]],Tb_Openstelling[#Data],2,0)=1,1,""),"")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Row],[Openstelling]],Tb_Openstelling[#Data],2,0)=1,1,""),"")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Row],[Openstelling]],Tb_Openstelling[#Data],2,0)=1,1,""),"")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Row],[Openstelling]],Tb_Openstelling[#Data],2,0)=1,1,""),"")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Row],[Openstelling]],Tb_Openstelling[#Data],2,0)=1,1,""),"")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Row],[Openstelling]],Tb_Openstelling[#Data],2,0)=1,1,""),"")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Row],[Openstelling]],Tb_Openstelling[#Data],2,0)=1,1,""),"")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Row],[Openstelling]],Tb_Openstelling[#Data],2,0)=1,1,""),"")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Row],[Openstelling]],Tb_Openstelling[#Data],2,0)=1,1,""),"")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Row],[Openstelling]],Tb_Openstelling[#Data],2,0)=1,1,""),"")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Row],[Openstelling]],Tb_Openstelling[#Data],2,0)=1,1,""),"")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Row],[Openstelling]],Tb_Openstelling[#Data],2,0)=1,1,""),"")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Row],[Openstelling]],Tb_Openstelling[#Data],2,0)=1,1,""),"")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Row],[Openstelling]],Tb_Openstelling[#Data],2,0)=1,1,""),"")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Row],[Openstelling]],Tb_Openstelling[#Data],2,0)=1,1,""),"")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Row],[Openstelling]],Tb_Openstelling[#Data],2,0)=1,1,""),"")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Row],[Openstelling]],Tb_Openstelling[#Data],2,0)=1,1,""),"")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Row],[Openstelling]],Tb_Openstelling[#Data],2,0)=1,1,""),"")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Row],[Openstelling]],Tb_Openstelling[#Data],2,0)=1,1,""),"")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Row],[Openstelling]],Tb_Openstelling[#Data],2,0)=1,1,""),"")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Row],[Openstelling]],Tb_Openstelling[#Data],2,0)=1,1,""),"")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Row],[Openstelling]],Tb_Openstelling[#Data],2,0)=1,1,""),"")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Row],[Openstelling]],Tb_Openstelling[#Data],2,0)=1,1,""),"")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Row],[Openstelling]],Tb_Openstelling[#Data],2,0)=1,1,""),"")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Row],[Openstelling]],Tb_Openstelling[#Data],2,0)=1,1,""),"")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Row],[Openstelling]],Tb_Openstelling[#Data],2,0)=1,1,""),"")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Row],[Openstelling]],Tb_Openstelling[#Data],2,0)=1,1,""),"")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Row],[Openstelling]],Tb_Openstelling[#Data],2,0)=1,1,""),"")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Row],[Openstelling]],Tb_Openstelling[#Data],2,0)=1,1,""),"")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Row],[Openstelling]],Tb_Openstelling[#Data],2,0)=1,1,""),"")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Row],[Openstelling]],Tb_Openstelling[#Data],2,0)=1,1,""),"")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Row],[Openstelling]],Tb_Openstelling[#Data],2,0)=1,1,""),"")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Row],[Openstelling]],Tb_Openstelling[#Data],2,0)=1,1,""),"")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Row],[Openstelling]],Tb_Openstelling[#Data],2,0)=1,1,""),"")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Row],[Openstelling]],Tb_Openstelling[#Data],2,0)=1,1,""),"")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Row],[Openstelling]],Tb_Openstelling[#Data],2,0)=1,1,""),"")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Row],[Openstelling]],Tb_Openstelling[#Data],2,0)=1,1,""),"")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Row],[Openstelling]],Tb_Openstelling[#Data],2,0)=1,1,""),"")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Row],[Openstelling]],Tb_Openstelling[#Data],2,0)=1,1,""),"")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Row],[Openstelling]],Tb_Openstelling[#Data],2,0)=1,1,""),"")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Row],[Openstelling]],Tb_Openstelling[#Data],2,0)=1,1,""),"")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Row],[Openstelling]],Tb_Openstelling[#Data],2,0)=1,1,""),"")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Row],[Openstelling]],Tb_Openstelling[#Data],2,0)=1,1,""),"")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Row],[Openstelling]],Tb_Openstelling[#Data],2,0)=1,1,""),"")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Row],[Openstelling]],Tb_Openstelling[#Data],2,0)=1,1,""),"")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Row],[Openstelling]],Tb_Openstelling[#Data],2,0)=1,1,""),"")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Row],[Openstelling]],Tb_Openstelling[#Data],2,0)=1,1,""),"")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Row],[Openstelling]],Tb_Openstelling[#Data],2,0)=1,1,""),"")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Row],[Openstelling]],Tb_Openstelling[#Data],2,0)=1,1,""),"")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Row],[Openstelling]],Tb_Openstelling[#Data],2,0)=1,1,""),"")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Row],[Openstelling]],Tb_Openstelling[#Data],2,0)=1,1,""),"")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Row],[Openstelling]],Tb_Openstelling[#Data],2,0)=1,1,""),"")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Row],[Openstelling]],Tb_Openstelling[#Data],2,0)=1,1,""),"")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Row],[Openstelling]],Tb_Openstelling[#Data],2,0)=1,1,""),"")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Row],[Openstelling]],Tb_Openstelling[#Data],2,0)=1,1,""),"")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Row],[Openstelling]],Tb_Openstelling[#Data],2,0)=1,1,""),"")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Row],[Openstelling]],Tb_Openstelling[#Data],2,0)=1,1,""),"")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Row],[Openstelling]],Tb_Openstelling[#Data],2,0)=1,1,""),"")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Row],[Openstelling]],Tb_Openstelling[#Data],2,0)=1,1,""),"")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Row],[Openstelling]],Tb_Openstelling[#Data],2,0)=1,1,""),"")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Row],[Openstelling]],Tb_Openstelling[#Data],2,0)=1,1,""),"")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Row],[Openstelling]],Tb_Openstelling[#Data],2,0)=1,1,""),"")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Row],[Openstelling]],Tb_Openstelling[#Data],2,0)=1,1,""),"")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Row],[Openstelling]],Tb_Openstelling[#Data],2,0)=1,1,""),"")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Row],[Openstelling]],Tb_Openstelling[#Data],2,0)=1,1,""),"")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Row],[Openstelling]],Tb_Openstelling[#Data],2,0)=1,1,""),"")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Row],[Openstelling]],Tb_Openstelling[#Data],2,0)=1,1,""),"")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Row],[Openstelling]],Tb_Openstelling[#Data],2,0)=1,1,""),"")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Row],[Openstelling]],Tb_Openstelling[#Data],2,0)=1,1,""),"")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Row],[Openstelling]],Tb_Openstelling[#Data],2,0)=1,1,""),"")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Row],[Openstelling]],Tb_Openstelling[#Data],2,0)=1,1,""),"")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Row],[Openstelling]],Tb_Openstelling[#Data],2,0)=1,1,""),"")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Row],[Openstelling]],Tb_Openstelling[#Data],2,0)=1,1,""),"")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Row],[Openstelling]],Tb_Openstelling[#Data],2,0)=1,1,""),"")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Row],[Openstelling]],Tb_Openstelling[#Data],2,0)=1,1,""),"")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Row],[Openstelling]],Tb_Openstelling[#Data],2,0)=1,1,""),"")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Row],[Openstelling]],Tb_Openstelling[#Data],2,0)=1,1,""),"")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Row],[Openstelling]],Tb_Openstelling[#Data],2,0)=1,1,""),"")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Row],[Openstelling]],Tb_Openstelling[#Data],2,0)=1,1,""),"")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Row],[Openstelling]],Tb_Openstelling[#Data],2,0)=1,1,""),"")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Row],[Openstelling]],Tb_Openstelling[#Data],2,0)=1,1,""),"")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Row],[Openstelling]],Tb_Openstelling[#Data],2,0)=1,1,""),"")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Row],[Openstelling]],Tb_Openstelling[#Data],2,0)=1,1,""),"")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Row],[Openstelling]],Tb_Openstelling[#Data],2,0)=1,1,""),"")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Row],[Openstelling]],Tb_Openstelling[#Data],2,0)=1,1,""),"")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Row],[Openstelling]],Tb_Openstelling[#Data],2,0)=1,1,""),"")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Row],[Openstelling]],Tb_Openstelling[#Data],2,0)=1,1,""),"")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Row],[Openstelling]],Tb_Openstelling[#Data],2,0)=1,1,""),"")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Row],[Openstelling]],Tb_Openstelling[#Data],2,0)=1,1,""),"")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Row],[Openstelling]],Tb_Openstelling[#Data],2,0)=1,1,""),"")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Row],[Openstelling]],Tb_Openstelling[#Data],2,0)=1,1,""),"")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Row],[Openstelling]],Tb_Openstelling[#Data],2,0)=1,1,""),"")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Row],[Openstelling]],Tb_Openstelling[#Data],2,0)=1,1,""),"")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Row],[Openstelling]],Tb_Openstelling[#Data],2,0)=1,1,""),"")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Row],[Openstelling]],Tb_Openstelling[#Data],2,0)=1,1,""),"")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Row],[Openstelling]],Tb_Openstelling[#Data],2,0)=1,1,""),"")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Row],[Openstelling]],Tb_Openstelling[#Data],2,0)=1,1,""),"")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Row],[Openstelling]],Tb_Openstelling[#Data],2,0)=1,1,""),"")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Row],[Openstelling]],Tb_Openstelling[#Data],2,0)=1,1,""),"")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Row],[Openstelling]],Tb_Openstelling[#Data],2,0)=1,1,""),"")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Row],[Openstelling]],Tb_Openstelling[#Data],2,0)=1,1,""),"")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Row],[Openstelling]],Tb_Openstelling[#Data],2,0)=1,1,""),"")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Row],[Openstelling]],Tb_Openstelling[#Data],2,0)=1,1,""),"")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Row],[Openstelling]],Tb_Openstelling[#Data],2,0)=1,1,""),"")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Row],[Openstelling]],Tb_Openstelling[#Data],2,0)=1,1,""),"")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Row],[Openstelling]],Tb_Openstelling[#Data],2,0)=1,1,""),"")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Row],[Openstelling]],Tb_Openstelling[#Data],2,0)=1,1,""),"")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Row],[Openstelling]],Tb_Openstelling[#Data],2,0)=1,1,""),"")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Row],[Openstelling]],Tb_Openstelling[#Data],2,0)=1,1,""),"")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Row],[Openstelling]],Tb_Openstelling[#Data],2,0)=1,1,""),"")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Row],[Openstelling]],Tb_Openstelling[#Data],2,0)=1,1,""),"")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Row],[Openstelling]],Tb_Openstelling[#Data],2,0)=1,1,""),"")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Row],[Openstelling]],Tb_Openstelling[#Data],2,0)=1,1,""),"")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Row],[Openstelling]],Tb_Openstelling[#Data],2,0)=1,1,""),"")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Row],[Openstelling]],Tb_Openstelling[#Data],2,0)=1,1,""),"")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Row],[Openstelling]],Tb_Openstelling[#Data],2,0)=1,1,""),"")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Row],[Openstelling]],Tb_Openstelling[#Data],2,0)=1,1,""),"")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Row],[Openstelling]],Tb_Openstelling[#Data],2,0)=1,1,""),"")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Row],[Openstelling]],Tb_Openstelling[#Data],2,0)=1,1,""),"")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Row],[Openstelling]],Tb_Openstelling[#Data],2,0)=1,1,""),"")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Row],[Openstelling]],Tb_Openstelling[#Data],2,0)=1,1,""),"")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Row],[Openstelling]],Tb_Openstelling[#Data],2,0)=1,1,""),"")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Row],[Openstelling]],Tb_Openstelling[#Data],2,0)=1,1,""),"")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Row],[Openstelling]],Tb_Openstelling[#Data],2,0)=1,1,""),"")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Row],[Openstelling]],Tb_Openstelling[#Data],2,0)=1,1,""),"")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Row],[Openstelling]],Tb_Openstelling[#Data],2,0)=1,1,""),"")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Row],[Openstelling]],Tb_Openstelling[#Data],2,0)=1,1,""),"")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Row],[Openstelling]],Tb_Openstelling[#Data],2,0)=1,1,""),"")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Row],[Openstelling]],Tb_Openstelling[#Data],2,0)=1,1,""),"")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Row],[Openstelling]],Tb_Openstelling[#Data],2,0)=1,1,""),"")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Row],[Openstelling]],Tb_Openstelling[#Data],2,0)=1,1,""),"")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Row],[Openstelling]],Tb_Openstelling[#Data],2,0)=1,1,""),"")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Row],[Openstelling]],Tb_Openstelling[#Data],2,0)=1,1,""),"")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Row],[Openstelling]],Tb_Openstelling[#Data],2,0)=1,1,""),"")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Row],[Openstelling]],Tb_Openstelling[#Data],2,0)=1,1,""),"")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Row],[Openstelling]],Tb_Openstelling[#Data],2,0)=1,1,""),"")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Row],[Openstelling]],Tb_Openstelling[#Data],2,0)=1,1,""),"")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Row],[Openstelling]],Tb_Openstelling[#Data],2,0)=1,1,""),"")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Row],[Openstelling]],Tb_Openstelling[#Data],2,0)=1,1,""),"")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Row],[Openstelling]],Tb_Openstelling[#Data],2,0)=1,1,""),"")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Row],[Openstelling]],Tb_Openstelling[#Data],2,0)=1,1,""),"")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Row],[Openstelling]],Tb_Openstelling[#Data],2,0)=1,1,""),"")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Row],[Openstelling]],Tb_Openstelling[#Data],2,0)=1,1,""),"")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Row],[Openstelling]],Tb_Openstelling[#Data],2,0)=1,1,""),"")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Row],[Openstelling]],Tb_Openstelling[#Data],2,0)=1,1,""),"")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Row],[Openstelling]],Tb_Openstelling[#Data],2,0)=1,1,""),"")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Row],[Openstelling]],Tb_Openstelling[#Data],2,0)=1,1,""),"")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Row],[Openstelling]],Tb_Openstelling[#Data],2,0)=1,1,""),"")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Row],[Openstelling]],Tb_Openstelling[#Data],2,0)=1,1,""),"")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Row],[Openstelling]],Tb_Openstelling[#Data],2,0)=1,1,""),"")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Row],[Openstelling]],Tb_Openstelling[#Data],2,0)=1,1,""),"")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Row],[Openstelling]],Tb_Openstelling[#Data],2,0)=1,1,""),"")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Row],[Openstelling]],Tb_Openstelling[#Data],2,0)=1,1,""),"")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Row],[Openstelling]],Tb_Openstelling[#Data],2,0)=1,1,""),"")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Row],[Openstelling]],Tb_Openstelling[#Data],2,0)=1,1,""),"")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Row],[Openstelling]],Tb_Openstelling[#Data],2,0)=1,1,""),"")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Row],[Openstelling]],Tb_Openstelling[#Data],2,0)=1,1,""),"")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Row],[Openstelling]],Tb_Openstelling[#Data],2,0)=1,1,""),"")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Row],[Openstelling]],Tb_Openstelling[#Data],2,0)=1,1,""),"")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Row],[Openstelling]],Tb_Openstelling[#Data],2,0)=1,1,""),"")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Row],[Openstelling]],Tb_Openstelling[#Data],2,0)=1,1,""),"")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Row],[Openstelling]],Tb_Openstelling[#Data],2,0)=1,1,""),"")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Row],[Openstelling]],Tb_Openstelling[#Data],2,0)=1,1,""),"")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Row],[Openstelling]],Tb_Openstelling[#Data],2,0)=1,1,""),"")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Row],[Openstelling]],Tb_Openstelling[#Data],2,0)=1,1,""),"")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Row],[Openstelling]],Tb_Openstelling[#Data],2,0)=1,1,""),"")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Row],[Openstelling]],Tb_Openstelling[#Data],2,0)=1,1,""),"")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Row],[Openstelling]],Tb_Openstelling[#Data],2,0)=1,1,""),"")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Row],[Openstelling]],Tb_Openstelling[#Data],2,0)=1,1,""),"")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Row],[Openstelling]],Tb_Openstelling[#Data],2,0)=1,1,""),"")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Row],[Openstelling]],Tb_Openstelling[#Data],2,0)=1,1,""),"")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Row],[Openstelling]],Tb_Openstelling[#Data],2,0)=1,1,""),"")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Row],[Openstelling]],Tb_Openstelling[#Data],2,0)=1,1,""),"")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Row],[Openstelling]],Tb_Openstelling[#Data],2,0)=1,1,""),"")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Row],[Openstelling]],Tb_Openstelling[#Data],2,0)=1,1,""),"")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Row],[Openstelling]],Tb_Openstelling[#Data],2,0)=1,1,""),"")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Row],[Openstelling]],Tb_Openstelling[#Data],2,0)=1,1,""),"")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Row],[Openstelling]],Tb_Openstelling[#Data],2,0)=1,1,""),"")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Row],[Openstelling]],Tb_Openstelling[#Data],2,0)=1,1,""),"")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Row],[Openstelling]],Tb_Openstelling[#Data],2,0)=1,1,""),"")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Row],[Openstelling]],Tb_Openstelling[#Data],2,0)=1,1,""),"")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Row],[Openstelling]],Tb_Openstelling[#Data],2,0)=1,1,""),"")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Row],[Openstelling]],Tb_Openstelling[#Data],2,0)=1,1,""),"")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Row],[Openstelling]],Tb_Openstelling[#Data],2,0)=1,1,""),"")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Row],[Openstelling]],Tb_Openstelling[#Data],2,0)=1,1,""),"")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Row],[Openstelling]],Tb_Openstelling[#Data],2,0)=1,1,""),"")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Row],[Openstelling]],Tb_Openstelling[#Data],2,0)=1,1,""),"")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Row],[Openstelling]],Tb_Openstelling[#Data],2,0)=1,1,""),"")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Row],[Openstelling]],Tb_Openstelling[#Data],2,0)=1,1,""),"")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Row],[Openstelling]],Tb_Openstelling[#Data],2,0)=1,1,""),"")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Row],[Openstelling]],Tb_Openstelling[#Data],2,0)=1,1,""),"")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Row],[Openstelling]],Tb_Openstelling[#Data],2,0)=1,1,""),"")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Row],[Openstelling]],Tb_Openstelling[#Data],2,0)=1,1,""),"")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Row],[Openstelling]],Tb_Openstelling[#Data],2,0)=1,1,""),"")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Row],[Openstelling]],Tb_Openstelling[#Data],2,0)=1,1,""),"")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Row],[Openstelling]],Tb_Openstelling[#Data],2,0)=1,1,""),"")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Row],[Openstelling]],Tb_Openstelling[#Data],2,0)=1,1,""),"")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Row],[Openstelling]],Tb_Openstelling[#Data],2,0)=1,1,""),"")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Row],[Openstelling]],Tb_Openstelling[#Data],2,0)=1,1,""),"")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Row],[Openstelling]],Tb_Openstelling[#Data],2,0)=1,1,""),"")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Row],[Openstelling]],Tb_Openstelling[#Data],2,0)=1,1,""),"")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Row],[Openstelling]],Tb_Openstelling[#Data],2,0)=1,1,""),"")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Row],[Openstelling]],Tb_Openstelling[#Data],2,0)=1,1,""),"")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Row],[Openstelling]],Tb_Openstelling[#Data],2,0)=1,1,""),"")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Row],[Openstelling]],Tb_Openstelling[#Data],2,0)=1,1,""),"")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Row],[Openstelling]],Tb_Openstelling[#Data],2,0)=1,1,""),"")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Row],[Openstelling]],Tb_Openstelling[#Data],2,0)=1,1,""),"")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Row],[Openstelling]],Tb_Openstelling[#Data],2,0)=1,1,""),"")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Row],[Openstelling]],Tb_Openstelling[#Data],2,0)=1,1,""),"")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Row],[Openstelling]],Tb_Openstelling[#Data],2,0)=1,1,""),"")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Row],[Openstelling]],Tb_Openstelling[#Data],2,0)=1,1,""),"")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Row],[Openstelling]],Tb_Openstelling[#Data],2,0)=1,1,""),"")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Row],[Openstelling]],Tb_Openstelling[#Data],2,0)=1,1,""),"")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Row],[Openstelling]],Tb_Openstelling[#Data],2,0)=1,1,""),"")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Row],[Openstelling]],Tb_Openstelling[#Data],2,0)=1,1,""),"")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Row],[Openstelling]],Tb_Openstelling[#Data],2,0)=1,1,""),"")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Row],[Openstelling]],Tb_Openstelling[#Data],2,0)=1,1,""),"")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Row],[Openstelling]],Tb_Openstelling[#Data],2,0)=1,1,""),"")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Row],[Openstelling]],Tb_Openstelling[#Data],2,0)=1,1,""),"")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Row],[Openstelling]],Tb_Openstelling[#Data],2,0)=1,1,""),"")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Row],[Openstelling]],Tb_Openstelling[#Data],2,0)=1,1,""),"")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Row],[Openstelling]],Tb_Openstelling[#Data],2,0)=1,1,""),"")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Row],[Openstelling]],Tb_Openstelling[#Data],2,0)=1,1,""),"")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Row],[Openstelling]],Tb_Openstelling[#Data],2,0)=1,1,""),"")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Row],[Openstelling]],Tb_Openstelling[#Data],2,0)=1,1,""),"")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Row],[Openstelling]],Tb_Openstelling[#Data],2,0)=1,1,""),"")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Row],[Openstelling]],Tb_Openstelling[#Data],2,0)=1,1,""),"")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Row],[Openstelling]],Tb_Openstelling[#Data],2,0)=1,1,""),"")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Row],[Openstelling]],Tb_Openstelling[#Data],2,0)=1,1,""),"")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Row],[Openstelling]],Tb_Openstelling[#Data],2,0)=1,1,""),"")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Row],[Openstelling]],Tb_Openstelling[#Data],2,0)=1,1,""),"")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Row],[Openstelling]],Tb_Openstelling[#Data],2,0)=1,1,""),"")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Row],[Openstelling]],Tb_Openstelling[#Data],2,0)=1,1,""),"")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Row],[Openstelling]],Tb_Openstelling[#Data],2,0)=1,1,""),"")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Row],[Openstelling]],Tb_Openstelling[#Data],2,0)=1,1,""),"")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Row],[Openstelling]],Tb_Openstelling[#Data],2,0)=1,1,""),"")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Row],[Openstelling]],Tb_Openstelling[#Data],2,0)=1,1,""),"")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Row],[Openstelling]],Tb_Openstelling[#Data],2,0)=1,1,""),"")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Row],[Openstelling]],Tb_Openstelling[#Data],2,0)=1,1,""),"")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Row],[Openstelling]],Tb_Openstelling[#Data],2,0)=1,1,""),"")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Row],[Openstelling]],Tb_Openstelling[#Data],2,0)=1,1,""),"")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Row],[Openstelling]],Tb_Openstelling[#Data],2,0)=1,1,""),"")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Row],[Openstelling]],Tb_Openstelling[#Data],2,0)=1,1,""),"")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Row],[Openstelling]],Tb_Openstelling[#Data],2,0)=1,1,""),"")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Row],[Openstelling]],Tb_Openstelling[#Data],2,0)=1,1,""),"")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Row],[Openstelling]],Tb_Openstelling[#Data],2,0)=1,1,""),"")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Row],[Openstelling]],Tb_Openstelling[#Data],2,0)=1,1,""),"")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Row],[Openstelling]],Tb_Openstelling[#Data],2,0)=1,1,""),"")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Row],[Openstelling]],Tb_Openstelling[#Data],2,0)=1,1,""),"")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Row],[Openstelling]],Tb_Openstelling[#Data],2,0)=1,1,""),"")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Row],[Openstelling]],Tb_Openstelling[#Data],2,0)=1,1,""),"")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Row],[Openstelling]],Tb_Openstelling[#Data],2,0)=1,1,""),"")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Row],[Openstelling]],Tb_Openstelling[#Data],2,0)=1,1,""),"")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Row],[Openstelling]],Tb_Openstelling[#Data],2,0)=1,1,""),"")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Row],[Openstelling]],Tb_Openstelling[#Data],2,0)=1,1,""),"")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Row],[Openstelling]],Tb_Openstelling[#Data],2,0)=1,1,""),"")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Row],[Openstelling]],Tb_Openstelling[#Data],2,0)=1,1,""),"")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Row],[Openstelling]],Tb_Openstelling[#Data],2,0)=1,1,""),"")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Row],[Openstelling]],Tb_Openstelling[#Data],2,0)=1,1,""),"")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Row],[Openstelling]],Tb_Openstelling[#Data],2,0)=1,1,""),"")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Row],[Openstelling]],Tb_Openstelling[#Data],2,0)=1,1,""),"")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Row],[Openstelling]],Tb_Openstelling[#Data],2,0)=1,1,""),"")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Row],[Openstelling]],Tb_Openstelling[#Data],2,0)=1,1,""),"")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Row],[Openstelling]],Tb_Openstelling[#Data],2,0)=1,1,""),"")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Row],[Openstelling]],Tb_Openstelling[#Data],2,0)=1,1,""),"")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Row],[Openstelling]],Tb_Openstelling[#Data],2,0)=1,1,""),"")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Row],[Openstelling]],Tb_Openstelling[#Data],2,0)=1,1,""),"")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Row],[Openstelling]],Tb_Openstelling[#Data],2,0)=1,1,""),"")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Row],[Openstelling]],Tb_Openstelling[#Data],2,0)=1,1,""),"")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Row],[Openstelling]],Tb_Openstelling[#Data],2,0)=1,1,""),"")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Row],[Openstelling]],Tb_Openstelling[#Data],2,0)=1,1,""),"")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Row],[Openstelling]],Tb_Openstelling[#Data],2,0)=1,1,""),"")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Row],[Openstelling]],Tb_Openstelling[#Data],2,0)=1,1,""),"")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Row],[Openstelling]],Tb_Openstelling[#Data],2,0)=1,1,""),"")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Row],[Openstelling]],Tb_Openstelling[#Data],2,0)=1,1,""),"")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Row],[Openstelling]],Tb_Openstelling[#Data],2,0)=1,1,""),"")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Row],[Openstelling]],Tb_Openstelling[#Data],2,0)=1,1,""),"")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Row],[Openstelling]],Tb_Openstelling[#Data],2,0)=1,1,""),"")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Row],[Openstelling]],Tb_Openstelling[#Data],2,0)=1,1,""),"")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Row],[Openstelling]],Tb_Openstelling[#Data],2,0)=1,1,""),"")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Row],[Openstelling]],Tb_Openstelling[#Data],2,0)=1,1,""),"")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Row],[Openstelling]],Tb_Openstelling[#Data],2,0)=1,1,""),"")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Row],[Openstelling]],Tb_Openstelling[#Data],2,0)=1,1,""),"")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Row],[Openstelling]],Tb_Openstelling[#Data],2,0)=1,1,""),"")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Row],[Openstelling]],Tb_Openstelling[#Data],2,0)=1,1,""),"")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Row],[Openstelling]],Tb_Openstelling[#Data],2,0)=1,1,""),"")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Row],[Openstelling]],Tb_Openstelling[#Data],2,0)=1,1,""),"")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Row],[Openstelling]],Tb_Openstelling[#Data],2,0)=1,1,""),"")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Row],[Openstelling]],Tb_Openstelling[#Data],2,0)=1,1,""),"")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Row],[Openstelling]],Tb_Openstelling[#Data],2,0)=1,1,""),"")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Row],[Openstelling]],Tb_Openstelling[#Data],2,0)=1,1,""),"")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Row],[Openstelling]],Tb_Openstelling[#Data],2,0)=1,1,""),"")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Row],[Openstelling]],Tb_Openstelling[#Data],2,0)=1,1,""),"")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Row],[Openstelling]],Tb_Openstelling[#Data],2,0)=1,1,""),"")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Row],[Openstelling]],Tb_Openstelling[#Data],2,0)=1,1,""),"")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Row],[Openstelling]],Tb_Openstelling[#Data],2,0)=1,1,""),"")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Row],[Openstelling]],Tb_Openstelling[#Data],2,0)=1,1,""),"")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Row],[Openstelling]],Tb_Openstelling[#Data],2,0)=1,1,""),"")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Row],[Openstelling]],Tb_Openstelling[#Data],2,0)=1,1,""),"")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Row],[Openstelling]],Tb_Openstelling[#Data],2,0)=1,1,""),"")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Row],[Openstelling]],Tb_Openstelling[#Data],2,0)=1,1,""),"")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Row],[Openstelling]],Tb_Openstelling[#Data],2,0)=1,1,""),"")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Row],[Openstelling]],Tb_Openstelling[#Data],2,0)=1,1,""),"")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Row],[Openstelling]],Tb_Openstelling[#Data],2,0)=1,1,""),"")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Row],[Openstelling]],Tb_Openstelling[#Data],2,0)=1,1,""),"")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Row],[Openstelling]],Tb_Openstelling[#Data],2,0)=1,1,""),"")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Row],[Openstelling]],Tb_Openstelling[#Data],2,0)=1,1,""),"")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Row],[Openstelling]],Tb_Openstelling[#Data],2,0)=1,1,""),"")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Row],[Openstelling]],Tb_Openstelling[#Data],2,0)=1,1,""),"")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Row],[Openstelling]],Tb_Openstelling[#Data],2,0)=1,1,""),"")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Row],[Openstelling]],Tb_Openstelling[#Data],2,0)=1,1,""),"")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Row],[Openstelling]],Tb_Openstelling[#Data],2,0)=1,1,""),"")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Row],[Openstelling]],Tb_Openstelling[#Data],2,0)=1,1,""),"")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Row],[Openstelling]],Tb_Openstelling[#Data],2,0)=1,1,""),"")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Row],[Openstelling]],Tb_Openstelling[#Data],2,0)=1,1,""),"")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Row],[Openstelling]],Tb_Openstelling[#Data],2,0)=1,1,""),"")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Row],[Openstelling]],Tb_Openstelling[#Data],2,0)=1,1,""),"")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Row],[Openstelling]],Tb_Openstelling[#Data],2,0)=1,1,""),"")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Row],[Openstelling]],Tb_Openstelling[#Data],2,0)=1,1,""),"")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Row],[Openstelling]],Tb_Openstelling[#Data],2,0)=1,1,""),"")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Row],[Openstelling]],Tb_Openstelling[#Data],2,0)=1,1,""),"")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Row],[Openstelling]],Tb_Openstelling[#Data],2,0)=1,1,""),"")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Row],[Openstelling]],Tb_Openstelling[#Data],2,0)=1,1,""),"")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Row],[Openstelling]],Tb_Openstelling[#Data],2,0)=1,1,""),"")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Row],[Openstelling]],Tb_Openstelling[#Data],2,0)=1,1,""),"")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Row],[Openstelling]],Tb_Openstelling[#Data],2,0)=1,1,""),"")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Row],[Openstelling]],Tb_Openstelling[#Data],2,0)=1,1,""),"")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Row],[Openstelling]],Tb_Openstelling[#Data],2,0)=1,1,""),"")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Row],[Openstelling]],Tb_Openstelling[#Data],2,0)=1,1,""),"")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Row],[Openstelling]],Tb_Openstelling[#Data],2,0)=1,1,""),"")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Row],[Openstelling]],Tb_Openstelling[#Data],2,0)=1,1,""),"")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Row],[Openstelling]],Tb_Openstelling[#Data],2,0)=1,1,""),"")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Row],[Openstelling]],Tb_Openstelling[#Data],2,0)=1,1,""),"")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Row],[Openstelling]],Tb_Openstelling[#Data],2,0)=1,1,""),"")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Row],[Openstelling]],Tb_Openstelling[#Data],2,0)=1,1,""),"")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Row],[Openstelling]],Tb_Openstelling[#Data],2,0)=1,1,""),"")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Row],[Openstelling]],Tb_Openstelling[#Data],2,0)=1,1,""),"")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Row],[Openstelling]],Tb_Openstelling[#Data],2,0)=1,1,""),"")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Row],[Openstelling]],Tb_Openstelling[#Data],2,0)=1,1,""),"")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Row],[Openstelling]],Tb_Openstelling[#Data],2,0)=1,1,""),"")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Row],[Openstelling]],Tb_Openstelling[#Data],2,0)=1,1,""),"")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Row],[Openstelling]],Tb_Openstelling[#Data],2,0)=1,1,""),"")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Row],[Openstelling]],Tb_Openstelling[#Data],2,0)=1,1,""),"")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Row],[Openstelling]],Tb_Openstelling[#Data],2,0)=1,1,""),"")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Row],[Openstelling]],Tb_Openstelling[#Data],2,0)=1,1,""),"")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Row],[Openstelling]],Tb_Openstelling[#Data],2,0)=1,1,""),"")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Row],[Openstelling]],Tb_Openstelling[#Data],2,0)=1,1,""),"")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Row],[Openstelling]],Tb_Openstelling[#Data],2,0)=1,1,""),"")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Row],[Openstelling]],Tb_Openstelling[#Data],2,0)=1,1,""),"")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Row],[Openstelling]],Tb_Openstelling[#Data],2,0)=1,1,""),"")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Row],[Openstelling]],Tb_Openstelling[#Data],2,0)=1,1,""),"")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Row],[Openstelling]],Tb_Openstelling[#Data],2,0)=1,1,""),"")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Row],[Openstelling]],Tb_Openstelling[#Data],2,0)=1,1,""),"")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Row],[Openstelling]],Tb_Openstelling[#Data],2,0)=1,1,""),"")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Row],[Openstelling]],Tb_Openstelling[#Data],2,0)=1,1,""),"")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Row],[Openstelling]],Tb_Openstelling[#Data],2,0)=1,1,""),"")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Row],[Openstelling]],Tb_Openstelling[#Data],2,0)=1,1,""),"")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Row],[Openstelling]],Tb_Openstelling[#Data],2,0)=1,1,""),"")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Row],[Openstelling]],Tb_Openstelling[#Data],2,0)=1,1,""),"")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Row],[Openstelling]],Tb_Openstelling[#Data],2,0)=1,1,""),"")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Row],[Openstelling]],Tb_Openstelling[#Data],2,0)=1,1,""),"")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Row],[Openstelling]],Tb_Openstelling[#Data],2,0)=1,1,""),"")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Row],[Openstelling]],Tb_Openstelling[#Data],2,0)=1,1,""),"")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Row],[Openstelling]],Tb_Openstelling[#Data],2,0)=1,1,""),"")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Row],[Openstelling]],Tb_Openstelling[#Data],2,0)=1,1,""),"")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Row],[Openstelling]],Tb_Openstelling[#Data],2,0)=1,1,""),"")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Row],[Openstelling]],Tb_Openstelling[#Data],2,0)=1,1,""),"")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Row],[Openstelling]],Tb_Openstelling[#Data],2,0)=1,1,""),"")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Row],[Openstelling]],Tb_Openstelling[#Data],2,0)=1,1,""),"")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Row],[Openstelling]],Tb_Openstelling[#Data],2,0)=1,1,""),"")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Row],[Openstelling]],Tb_Openstelling[#Data],2,0)=1,1,""),"")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Row],[Openstelling]],Tb_Openstelling[#Data],2,0)=1,1,""),"")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Row],[Openstelling]],Tb_Openstelling[#Data],2,0)=1,1,""),"")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Row],[Openstelling]],Tb_Openstelling[#Data],2,0)=1,1,""),"")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Row],[Openstelling]],Tb_Openstelling[#Data],2,0)=1,1,""),"")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Row],[Openstelling]],Tb_Openstelling[#Data],2,0)=1,1,""),"")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Row],[Openstelling]],Tb_Openstelling[#Data],2,0)=1,1,""),"")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Row],[Openstelling]],Tb_Openstelling[#Data],2,0)=1,1,""),"")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Row],[Openstelling]],Tb_Openstelling[#Data],2,0)=1,1,""),"")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Row],[Openstelling]],Tb_Openstelling[#Data],2,0)=1,1,""),"")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Row],[Openstelling]],Tb_Openstelling[#Data],2,0)=1,1,""),"")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Row],[Openstelling]],Tb_Openstelling[#Data],2,0)=1,1,""),"")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Row],[Openstelling]],Tb_Openstelling[#Data],2,0)=1,1,""),"")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Row],[Openstelling]],Tb_Openstelling[#Data],2,0)=1,1,""),"")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Row],[Openstelling]],Tb_Openstelling[#Data],2,0)=1,1,""),"")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Row],[Openstelling]],Tb_Openstelling[#Data],2,0)=1,1,""),"")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Row],[Openstelling]],Tb_Openstelling[#Data],2,0)=1,1,""),"")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Row],[Openstelling]],Tb_Openstelling[#Data],2,0)=1,1,""),"")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Row],[Openstelling]],Tb_Openstelling[#Data],2,0)=1,1,""),"")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Row],[Openstelling]],Tb_Openstelling[#Data],2,0)=1,1,""),"")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Row],[Openstelling]],Tb_Openstelling[#Data],2,0)=1,1,""),"")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Row],[Openstelling]],Tb_Openstelling[#Data],2,0)=1,1,""),"")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Row],[Openstelling]],Tb_Openstelling[#Data],2,0)=1,1,""),"")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Row],[Openstelling]],Tb_Openstelling[#Data],2,0)=1,1,""),"")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Row],[Openstelling]],Tb_Openstelling[#Data],2,0)=1,1,""),"")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Row],[Openstelling]],Tb_Openstelling[#Data],2,0)=1,1,""),"")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Row],[Openstelling]],Tb_Openstelling[#Data],2,0)=1,1,""),"")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Row],[Openstelling]],Tb_Openstelling[#Data],2,0)=1,1,""),"")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Row],[Openstelling]],Tb_Openstelling[#Data],2,0)=1,1,""),"")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Row],[Openstelling]],Tb_Openstelling[#Data],2,0)=1,1,""),"")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Row],[Openstelling]],Tb_Openstelling[#Data],2,0)=1,1,""),"")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Row],[Openstelling]],Tb_Openstelling[#Data],2,0)=1,1,""),"")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Row],[Openstelling]],Tb_Openstelling[#Data],2,0)=1,1,""),"")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Row],[Openstelling]],Tb_Openstelling[#Data],2,0)=1,1,""),"")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Row],[Openstelling]],Tb_Openstelling[#Data],2,0)=1,1,""),"")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Row],[Openstelling]],Tb_Openstelling[#Data],2,0)=1,1,""),"")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Row],[Openstelling]],Tb_Openstelling[#Data],2,0)=1,1,""),"")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Row],[Openstelling]],Tb_Openstelling[#Data],2,0)=1,1,""),"")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Row],[Openstelling]],Tb_Openstelling[#Data],2,0)=1,1,""),"")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XZ64f3loiiQ5jbIVapI1BgjUrp8fKBqH3kna6SNo+fDHkWa4ah+8oU9+ZMlUTSrit8vUbqbxz2Qg1RIOwiyChA==" saltValue="q5/If1xdtanzZvViN4MKOw==" spinCount="100000" sheet="1" objects="1" scenarios="1"/>
  <phoneticPr fontId="3" type="noConversion"/>
  <conditionalFormatting sqref="M8:M2000">
    <cfRule type="expression" dxfId="0" priority="1">
      <formula>ISERROR(MATCH($M8,$A$3:$A$2000,0))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5">IFERROR(_xlfn._xlws.FILTER(Tb_Activiteiten[[Openstelling]:[Subsidiabele_Activiteit]],Tb_Activiteiten[Openstelling]&lt;&gt;""),"")</f>
        <v>Samenwerken aan innovatie (EIP) Noord-Holland</v>
      </c>
      <c r="B2" s="86" t="str">
        <v>Uitvoering samenwerkingsproject</v>
      </c>
      <c r="C2" s="86"/>
      <c r="D2" s="86"/>
      <c r="E2" s="86"/>
      <c r="F2" s="86"/>
      <c r="G2" s="86"/>
      <c r="H2" s="86"/>
      <c r="I2" s="86"/>
      <c r="J2" s="86"/>
      <c r="K2" s="86"/>
      <c r="L2" s="86"/>
      <c r="M2" s="86"/>
      <c r="N2" s="86"/>
      <c r="O2" s="86"/>
      <c r="P2" s="86"/>
    </row>
    <row r="3" spans="1:16" x14ac:dyDescent="0.25">
      <c r="A3" s="282" t="str">
        <v>Samenwerken aan innovatie (EIP) Noord-Holland</v>
      </c>
      <c r="B3" s="87" t="str">
        <v>Investeringen</v>
      </c>
      <c r="C3" s="87"/>
      <c r="D3" s="87"/>
      <c r="E3" s="87"/>
      <c r="F3" s="87"/>
      <c r="G3" s="87"/>
      <c r="H3" s="87"/>
      <c r="I3" s="87"/>
      <c r="J3" s="87"/>
      <c r="K3" s="87"/>
      <c r="L3" s="87"/>
      <c r="M3" s="87"/>
      <c r="N3" s="87"/>
      <c r="O3" s="87"/>
      <c r="P3" s="87"/>
    </row>
    <row r="4" spans="1:16" x14ac:dyDescent="0.25">
      <c r="A4" s="281" t="str">
        <v>Samenwerken aan innovatie (EIP) Zeeland</v>
      </c>
      <c r="B4" s="86" t="str">
        <v>Uitvoering samenwerkingsproject</v>
      </c>
      <c r="C4" s="86"/>
      <c r="D4" s="86"/>
      <c r="E4" s="86"/>
      <c r="F4" s="86"/>
      <c r="G4" s="86"/>
      <c r="H4" s="86"/>
      <c r="I4" s="86"/>
      <c r="J4" s="86"/>
      <c r="K4" s="86"/>
      <c r="L4" s="86"/>
      <c r="M4" s="86"/>
      <c r="N4" s="86"/>
      <c r="O4" s="86"/>
      <c r="P4" s="86"/>
    </row>
    <row r="5" spans="1:16" x14ac:dyDescent="0.25">
      <c r="A5" s="282" t="str">
        <v>Samenwerken aan innovatie (EIP) Zeeland</v>
      </c>
      <c r="B5" s="87" t="str">
        <v>Investeringen</v>
      </c>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311</v>
      </c>
      <c r="B1" s="261" t="s">
        <v>312</v>
      </c>
      <c r="C1" s="262" t="s">
        <v>313</v>
      </c>
      <c r="E1" s="85" t="s">
        <v>314</v>
      </c>
    </row>
    <row r="2" spans="1:5" x14ac:dyDescent="0.25">
      <c r="A2" s="258">
        <v>1</v>
      </c>
      <c r="B2" s="258" t="str">
        <f>Tb_Activiteiten[[#Headers],[Arbeidskosten]]</f>
        <v>Arbeidskosten</v>
      </c>
      <c r="C2" s="257">
        <f>COUNTIFS(INDEX(Tb_Activiteiten[#All],0,MATCH($B2,Tb_Activiteiten[#Headers],0)),"&gt;0",Tb_Activiteiten[[#All],[Openstelling]],Openstelling_Keuze)</f>
        <v>2</v>
      </c>
      <c r="E2" s="263" t="str" cm="1">
        <f t="array" ref="E2:E6">IFERROR(_xlfn._xlws.FILTER(_xlfn.SORTBY(Kosten_Posten!$B$2:$B$12,Kosten_Posten!$A$2:$A$12,1),_xlfn.SORTBY(Kosten_Posten!$C$2:$C$12,Kosten_Posten!$A$2:$A$12,1)&gt;0),"")</f>
        <v>Arbeidskosten</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2</v>
      </c>
      <c r="E3" s="263" t="str">
        <v>Arbeidskosten op basis van IKS</v>
      </c>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2</v>
      </c>
      <c r="E4" s="263" t="str">
        <v>Kosten derden exclusief btw</v>
      </c>
    </row>
    <row r="5" spans="1:5" x14ac:dyDescent="0.25">
      <c r="A5" s="260">
        <v>11</v>
      </c>
      <c r="B5" s="260" t="str">
        <f>Tb_Activiteiten[[#Headers],[Niet verrekenbare btw]]</f>
        <v>Niet verrekenbare btw</v>
      </c>
      <c r="C5" s="259">
        <f>COUNTIFS(INDEX(Tb_Activiteiten[#All],0,MATCH($B5,Tb_Activiteiten[#Headers],0)),"&gt;0",Tb_Activiteiten[[#All],[Openstelling]],Openstelling_Keuze)</f>
        <v>2</v>
      </c>
      <c r="E5" s="263" t="str">
        <v>Grondkosten</v>
      </c>
    </row>
    <row r="6" spans="1:5" x14ac:dyDescent="0.25">
      <c r="A6" s="258">
        <v>5</v>
      </c>
      <c r="B6" s="258" t="str">
        <f>Tb_Activiteiten[[#Headers],[Grondkosten]]</f>
        <v>Grondkosten</v>
      </c>
      <c r="C6" s="257">
        <f>COUNTIFS(INDEX(Tb_Activiteiten[#All],0,MATCH($B6,Tb_Activiteiten[#Headers],0)),"&gt;0",Tb_Activiteiten[[#All],[Openstelling]],Openstelling_Keuze)</f>
        <v>1</v>
      </c>
      <c r="E6" s="263" t="str">
        <v>Niet verrekenbare btw</v>
      </c>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85" t="s">
        <v>350</v>
      </c>
      <c r="Q1" s="85" t="s">
        <v>351</v>
      </c>
      <c r="R1" s="285" t="s">
        <v>351</v>
      </c>
      <c r="S1" s="85" t="s">
        <v>354</v>
      </c>
      <c r="T1" s="285" t="s">
        <v>354</v>
      </c>
      <c r="U1" s="85" t="s">
        <v>356</v>
      </c>
      <c r="V1" s="285" t="s">
        <v>356</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Geen vereenvoudigde kostenoptie</v>
      </c>
      <c r="R1" s="58" t="s">
        <v>345</v>
      </c>
      <c r="T1" s="58" t="s">
        <v>101</v>
      </c>
      <c r="V1" s="58" t="s">
        <v>117</v>
      </c>
      <c r="X1" s="58" t="s">
        <v>122</v>
      </c>
      <c r="Y1" s="58" t="s">
        <v>357</v>
      </c>
      <c r="AA1" s="58" t="s">
        <v>122</v>
      </c>
      <c r="AB1" s="58" t="s">
        <v>357</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7"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25000</v>
      </c>
      <c r="AE2" s="95">
        <f>IFERROR(VLOOKUP(Openstelling_Keuze,Subsidie_Tabel,MATCH(AE1,Tb_Openstelling[#Headers],0),0),0)</f>
        <v>500000</v>
      </c>
      <c r="AG2" s="91" t="str" cm="1">
        <f t="array" ref="AG2">IFERROR(_xlfn._xlws.FILTER('4. Rekenhulp loonkosten aanvr.'!A5:B54,'4. Rekenhulp loonkosten aanvr.'!A5:A54&lt;&gt;""),"")</f>
        <v/>
      </c>
      <c r="AH2" s="91"/>
      <c r="AJ2" s="91" t="str" cm="1">
        <f t="array" ref="AJ2:BX3">IFERROR(IF(Openstelling_Keuze&lt;&gt;"",_xlfn._xlws.FILTER(Tb_Activiteiten[],Tb_Activiteiten[Openstelling]=Openstelling_Keuze,""),""),"")</f>
        <v>Samenwerken aan innovatie (EIP) Zeeland</v>
      </c>
      <c r="AK2" s="91" t="str">
        <v>Uitvoering samenwerkingsproject</v>
      </c>
      <c r="AL2" s="93">
        <v>1</v>
      </c>
      <c r="AM2" s="91">
        <v>1</v>
      </c>
      <c r="AN2" s="91">
        <v>1</v>
      </c>
      <c r="AO2" s="91">
        <v>1</v>
      </c>
      <c r="AP2" s="91">
        <v>1</v>
      </c>
      <c r="AQ2" s="91">
        <v>0</v>
      </c>
      <c r="AR2" s="91">
        <v>0</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
      </c>
      <c r="BT2" s="91" t="str">
        <v/>
      </c>
      <c r="BU2" s="91" t="str">
        <v/>
      </c>
      <c r="BV2" s="91" t="str">
        <v/>
      </c>
      <c r="BW2" s="91" t="str">
        <v/>
      </c>
      <c r="BX2" s="91" t="str">
        <v/>
      </c>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Zeeland</v>
      </c>
      <c r="AK3" s="91" t="str">
        <v>Investeringen</v>
      </c>
      <c r="AL3" s="93">
        <v>0.4</v>
      </c>
      <c r="AM3" s="91">
        <v>1</v>
      </c>
      <c r="AN3" s="91">
        <v>1</v>
      </c>
      <c r="AO3" s="91">
        <v>1</v>
      </c>
      <c r="AP3" s="91">
        <v>1</v>
      </c>
      <c r="AQ3" s="91">
        <v>1</v>
      </c>
      <c r="AR3" s="91">
        <v>0</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Grondkosten</v>
      </c>
      <c r="BS3" s="91" t="str">
        <v/>
      </c>
      <c r="BT3" s="91" t="str">
        <v/>
      </c>
      <c r="BU3" s="91" t="str">
        <v/>
      </c>
      <c r="BV3" s="91" t="str">
        <v/>
      </c>
      <c r="BW3" s="91" t="str">
        <v/>
      </c>
      <c r="BX3" s="91" t="str">
        <v/>
      </c>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8" sqref="C8:D8"/>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
      </c>
      <c r="D1" s="192"/>
    </row>
    <row r="2" spans="1:5" ht="28.5" customHeight="1" x14ac:dyDescent="0.25">
      <c r="A2" s="25"/>
      <c r="B2" s="17" t="s">
        <v>72</v>
      </c>
      <c r="C2" s="379" t="s">
        <v>508</v>
      </c>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
      </c>
      <c r="D7" s="192"/>
    </row>
    <row r="8" spans="1:5" ht="15" customHeight="1" x14ac:dyDescent="0.25">
      <c r="A8" s="25"/>
      <c r="B8" s="151" t="s">
        <v>19</v>
      </c>
      <c r="C8" s="380" t="s">
        <v>24</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381</v>
      </c>
      <c r="H1" s="58" t="s">
        <v>357</v>
      </c>
      <c r="J1" s="58" t="s">
        <v>381</v>
      </c>
      <c r="K1" s="58" t="s">
        <v>357</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334</v>
      </c>
      <c r="R1" s="273" t="s">
        <v>335</v>
      </c>
      <c r="S1" s="273" t="s">
        <v>336</v>
      </c>
      <c r="T1" s="273" t="s">
        <v>337</v>
      </c>
      <c r="U1" s="273" t="s">
        <v>338</v>
      </c>
      <c r="V1" s="273" t="s">
        <v>339</v>
      </c>
      <c r="W1" s="273" t="s">
        <v>340</v>
      </c>
      <c r="X1" s="273" t="s">
        <v>341</v>
      </c>
      <c r="Y1" s="273" t="s">
        <v>342</v>
      </c>
      <c r="Z1" s="273" t="s">
        <v>343</v>
      </c>
      <c r="AA1" s="273" t="s">
        <v>344</v>
      </c>
      <c r="AB1" s="273" t="s">
        <v>375</v>
      </c>
      <c r="AC1" s="273" t="s">
        <v>376</v>
      </c>
      <c r="AD1" s="273" t="s">
        <v>377</v>
      </c>
    </row>
    <row r="2" spans="1:30" x14ac:dyDescent="0.25">
      <c r="A2" s="91" t="str" cm="1">
        <f t="array" ref="A2:P3">IFERROR(IF(Openstelling_Keuze&lt;&gt;"",_xlfn._xlws.FILTER(Spec_Activiteit!$A$2:$P$1500,Spec_Activiteit!$A$2:$A$1500=Openstelling_Keuze,""),""),"")</f>
        <v>Samenwerken aan innovatie (EIP) Zeeland</v>
      </c>
      <c r="B2" s="91" t="str">
        <v>Uitvoering samenwerkingsproject</v>
      </c>
      <c r="C2" s="333">
        <v>0</v>
      </c>
      <c r="D2" s="333">
        <v>0</v>
      </c>
      <c r="E2" s="333">
        <v>0</v>
      </c>
      <c r="F2" s="333">
        <v>0</v>
      </c>
      <c r="G2" s="333">
        <v>0</v>
      </c>
      <c r="H2" s="333">
        <v>0</v>
      </c>
      <c r="I2" s="333">
        <v>0</v>
      </c>
      <c r="J2" s="333">
        <v>0</v>
      </c>
      <c r="K2" s="333">
        <v>0</v>
      </c>
      <c r="L2" s="333">
        <v>0</v>
      </c>
      <c r="M2" s="333">
        <v>0</v>
      </c>
      <c r="N2" s="333">
        <v>0</v>
      </c>
      <c r="O2" s="333">
        <v>0</v>
      </c>
      <c r="P2" s="333">
        <v>0</v>
      </c>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t="str">
        <v>Samenwerken aan innovatie (EIP) Zeeland</v>
      </c>
      <c r="B3" s="91" t="str">
        <v>Investeringen</v>
      </c>
      <c r="C3" s="333">
        <v>0</v>
      </c>
      <c r="D3" s="333">
        <v>0</v>
      </c>
      <c r="E3" s="333">
        <v>0</v>
      </c>
      <c r="F3" s="333">
        <v>0</v>
      </c>
      <c r="G3" s="333">
        <v>0</v>
      </c>
      <c r="H3" s="333">
        <v>0</v>
      </c>
      <c r="I3" s="333">
        <v>0</v>
      </c>
      <c r="J3" s="333">
        <v>0</v>
      </c>
      <c r="K3" s="333">
        <v>0</v>
      </c>
      <c r="L3" s="333">
        <v>0</v>
      </c>
      <c r="M3" s="333">
        <v>0</v>
      </c>
      <c r="N3" s="333">
        <v>0</v>
      </c>
      <c r="O3" s="333">
        <v>0</v>
      </c>
      <c r="P3" s="333">
        <v>0</v>
      </c>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1" t="s">
        <v>44</v>
      </c>
      <c r="B1" s="471"/>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t="str" cm="1">
        <f t="array" aca="1" ref="A21:A22" ca="1">OFFSET(Lijsten!$AJ$1,1,1,IF(COUNTIF(Lijsten!$AJ$1:$AJ$100,"&lt;&gt;"&amp;"")&gt;1,COUNTIF(Lijsten!$AJ$1:$AJ$100,"&lt;&gt;"&amp;"")-1,COUNTIF(Lijsten!$AJ$1:$AJ$100,"&lt;&gt;"&amp;"")))</f>
        <v>Uitvoering samenwerkingsproject</v>
      </c>
      <c r="B21" s="91" t="str" cm="1">
        <f t="array" aca="1" ref="B21:E21" ca="1">IFERROR(_xlfn._xlws.SORT(_xlfn._xlws.FILTER(OFFSET(Lijsten!$BN:$BX,MATCH(A21,Lijsten!AK:AK,0)-1,,1),OFFSET(Lijsten!$BN:$BX,MATCH(A21,Lijsten!AK:AK,0)-1,,1)&lt;&gt;""),1,,1),"")</f>
        <v>Arbeidskosten</v>
      </c>
      <c r="C21" s="91" t="str">
        <f ca="1"/>
        <v>Arbeidskosten op basis van IKS</v>
      </c>
      <c r="D21" s="91" t="str">
        <f ca="1"/>
        <v>Kosten derden exclusief btw</v>
      </c>
      <c r="E21" s="91" t="str">
        <f ca="1"/>
        <v>Niet verrekenbare btw</v>
      </c>
      <c r="F21" s="91"/>
      <c r="G21" s="91"/>
      <c r="H21" s="91"/>
      <c r="I21" s="91"/>
      <c r="J21" s="91"/>
      <c r="K21" s="91"/>
      <c r="L21" s="91"/>
    </row>
    <row r="22" spans="1:12" x14ac:dyDescent="0.25">
      <c r="A22" s="91" t="str">
        <f ca="1"/>
        <v>Investeringen</v>
      </c>
      <c r="B22" s="91" t="str" cm="1">
        <f t="array" aca="1" ref="B22:F22" ca="1">IFERROR(_xlfn._xlws.SORT(_xlfn._xlws.FILTER(OFFSET(Lijsten!$BN:$BX,MATCH(A22,Lijsten!AK:AK,0)-1,,1),OFFSET(Lijsten!$BN:$BX,MATCH(A22,Lijsten!AK:AK,0)-1,,1)&lt;&gt;""),1,,1),"")</f>
        <v>Arbeidskosten</v>
      </c>
      <c r="C22" s="91" t="str">
        <f ca="1"/>
        <v>Arbeidskosten op basis van IKS</v>
      </c>
      <c r="D22" s="91" t="str">
        <f ca="1"/>
        <v>Grondkosten</v>
      </c>
      <c r="E22" s="91" t="str">
        <f ca="1"/>
        <v>Kosten derden exclusief btw</v>
      </c>
      <c r="F22" s="91" t="str">
        <f ca="1"/>
        <v>Niet verrekenbare btw</v>
      </c>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t="str" cm="1">
        <f t="array" aca="1" ref="A35:A36" ca="1">OFFSET(Lijsten!$AJ$1,1,1,IF(COUNTIF(Lijsten!$AJ$1:$AJ$100,"&lt;&gt;"&amp;"")&gt;1,COUNTIF(Lijsten!$AJ$1:$AJ$100,"&lt;&gt;"&amp;"")-1,COUNTIF(Lijsten!$AJ$1:$AJ$100,"&lt;&gt;"&amp;"")))</f>
        <v>Uitvoering samenwerkingsproject</v>
      </c>
      <c r="B35" s="91" t="str" cm="1">
        <f t="array" aca="1" ref="B35:F35" ca="1">TRANSPOSE(_xlfn.UNIQUE(TRANSPOSE(B49:L49)))</f>
        <v>Arbeidskosten</v>
      </c>
      <c r="C35" s="91" t="str">
        <f ca="1"/>
        <v>Arbeidskosten op basis van IKS</v>
      </c>
      <c r="D35" s="91" t="str">
        <f ca="1"/>
        <v>Kosten derden exclusief btw</v>
      </c>
      <c r="E35" s="91" t="str">
        <f ca="1"/>
        <v>Niet verrekenbare btw</v>
      </c>
      <c r="F35" s="91" t="str">
        <f ca="1"/>
        <v/>
      </c>
      <c r="G35" s="91"/>
      <c r="H35" s="91"/>
      <c r="I35" s="91"/>
      <c r="J35" s="91"/>
      <c r="K35" s="91"/>
      <c r="L35" s="91"/>
    </row>
    <row r="36" spans="1:12" x14ac:dyDescent="0.25">
      <c r="A36" s="91" t="str">
        <f ca="1"/>
        <v>Investeringen</v>
      </c>
      <c r="B36" s="91" t="str" cm="1">
        <f t="array" aca="1" ref="B36:G36" ca="1">TRANSPOSE(_xlfn.UNIQUE(TRANSPOSE(B50:L50)))</f>
        <v>Arbeidskosten</v>
      </c>
      <c r="C36" s="91" t="str">
        <f ca="1"/>
        <v>Arbeidskosten op basis van IKS</v>
      </c>
      <c r="D36" s="91" t="str">
        <f ca="1"/>
        <v>Grondkosten</v>
      </c>
      <c r="E36" s="91" t="str">
        <f ca="1"/>
        <v>Kosten derden exclusief btw</v>
      </c>
      <c r="F36" s="91" t="str">
        <f ca="1"/>
        <v>Niet verrekenbare btw</v>
      </c>
      <c r="G36" s="91" t="str">
        <f ca="1"/>
        <v/>
      </c>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t="str" cm="1">
        <f t="array" aca="1" ref="A49:A50" ca="1">OFFSET(Lijsten!$AJ$1,1,1,IF(COUNTIF(Lijsten!$AJ$1:$AJ$100,"&lt;&gt;"&amp;"")&gt;1,COUNTIF(Lijsten!$AJ$1:$AJ$100,"&lt;&gt;"&amp;"")-1,COUNTIF(Lijsten!$AJ$1:$AJ$100,"&lt;&gt;"&amp;"")))</f>
        <v>Uitvoering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Kosten derden exclusief btw</v>
      </c>
      <c r="E49" s="91" t="str">
        <f ca="1">IF(AND(E21&lt;&gt;"",E21&lt;&gt;0),VLOOKUP(E21,Tb_ProjectKosten[],4,0),"")</f>
        <v>Niet verrekenbare btw</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t="str">
        <f ca="1"/>
        <v>Investeringen</v>
      </c>
      <c r="B50" s="91" t="str">
        <f ca="1">IF(AND(B22&lt;&gt;"",B22&lt;&gt;0),VLOOKUP(B22,Tb_ProjectKosten[],4,0),"")</f>
        <v>Arbeidskosten</v>
      </c>
      <c r="C50" s="91" t="str">
        <f ca="1">IF(AND(C22&lt;&gt;"",C22&lt;&gt;0),VLOOKUP(C22,Tb_ProjectKosten[],4,0),"")</f>
        <v>Arbeidskosten op basis van IKS</v>
      </c>
      <c r="D50" s="91" t="str">
        <f ca="1">IF(AND(D22&lt;&gt;"",D22&lt;&gt;0),VLOOKUP(D22,Tb_ProjectKosten[],4,0),"")</f>
        <v>Grondkosten</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t="str" cm="1">
        <f t="array" aca="1" ref="A63:A64" ca="1">OFFSET(Lijsten!$AJ$1,1,1,IF(COUNTIF(Lijsten!$AJ$1:$AJ$100,"&lt;&gt;"&amp;"")&gt;1,COUNTIF(Lijsten!$AJ$1:$AJ$100,"&lt;&gt;"&amp;"")-1,COUNTIF(Lijsten!$AJ$1:$AJ$100,"&lt;&gt;"&amp;"")))</f>
        <v>Uitvoering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25">
      <c r="A64" s="91" t="str">
        <f ca="1"/>
        <v>Investeringen</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t="str" cm="1">
        <f t="array" aca="1" ref="A77:A78" ca="1">OFFSET(Lijsten!$AJ$1,1,1,IF(COUNTIF(Lijsten!$AJ$1:$AJ$100,"&lt;&gt;"&amp;"")&gt;1,COUNTIF(Lijsten!$AJ$1:$AJ$100,"&lt;&gt;"&amp;"")-1,COUNTIF(Lijsten!$AJ$1:$AJ$100,"&lt;&gt;"&amp;"")))</f>
        <v>Uitvoering samenwerkingsproject</v>
      </c>
      <c r="B77" s="91" t="str" cm="1">
        <f t="array" aca="1" ref="B77:D77" ca="1">TRANSPOSE(_xlfn.UNIQUE(TRANSPOSE(B91:G91)))</f>
        <v>Loonkosten</v>
      </c>
      <c r="C77" s="91" t="str">
        <f ca="1"/>
        <v>Eigen arbeid</v>
      </c>
      <c r="D77" s="91" t="str">
        <f ca="1"/>
        <v/>
      </c>
      <c r="E77" s="91"/>
      <c r="F77" s="91"/>
      <c r="G77" s="91"/>
    </row>
    <row r="78" spans="1:7" x14ac:dyDescent="0.25">
      <c r="A78" s="91" t="str">
        <f ca="1"/>
        <v>Investeringen</v>
      </c>
      <c r="B78" s="91" t="str" cm="1">
        <f t="array" aca="1" ref="B78:D78" ca="1">TRANSPOSE(_xlfn.UNIQUE(TRANSPOSE(B92:G92)))</f>
        <v>Loonkosten</v>
      </c>
      <c r="C78" s="91" t="str">
        <f ca="1"/>
        <v>Eigen arbeid</v>
      </c>
      <c r="D78" s="91" t="str">
        <f ca="1"/>
        <v/>
      </c>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t="str" cm="1">
        <f t="array" aca="1" ref="A91:A92" ca="1">OFFSET(Lijsten!$AJ$1,1,1,IF(COUNTIF(Lijsten!$AJ$1:$AJ$100,"&lt;&gt;"&amp;"")&gt;1,COUNTIF(Lijsten!$AJ$1:$AJ$100,"&lt;&gt;"&amp;"")-1,COUNTIF(Lijsten!$AJ$1:$AJ$100,"&lt;&gt;"&amp;"")))</f>
        <v>Uitvoering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t="str">
        <f ca="1"/>
        <v>Investeringen</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t="str" cm="1">
        <f t="array" aca="1" ref="A105:A106" ca="1">OFFSET(Lijsten!$AJ$1,1,1,IF(COUNTIF(Lijsten!$AJ$1:$AJ$100,"&lt;&gt;"&amp;"")&gt;1,COUNTIF(Lijsten!$AJ$1:$AJ$100,"&lt;&gt;"&amp;"")-1,COUNTIF(Lijsten!$AJ$1:$AJ$100,"&lt;&gt;"&amp;"")))</f>
        <v>Uitvoering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t="str">
        <f ca="1"/>
        <v>Investeringen</v>
      </c>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t="str" cm="1">
        <f t="array" aca="1" ref="A119:A120" ca="1">OFFSET(Lijsten!$AJ$1,1,1,IF(COUNTIF(Lijsten!$AJ$1:$AJ$100,"&lt;&gt;"&amp;"")&gt;1,COUNTIF(Lijsten!$AJ$1:$AJ$100,"&lt;&gt;"&amp;"")-1,COUNTIF(Lijsten!$AJ$1:$AJ$100,"&lt;&gt;"&amp;"")))</f>
        <v>Uitvoering samenwerkingsproject</v>
      </c>
      <c r="B119" s="91" t="str" cm="1">
        <f t="array" aca="1" ref="B119" ca="1">TRANSPOSE(_xlfn.UNIQUE(TRANSPOSE(B133:G133)))</f>
        <v/>
      </c>
      <c r="C119" s="91"/>
      <c r="D119" s="91"/>
      <c r="E119" s="91"/>
      <c r="F119" s="91"/>
      <c r="G119" s="91"/>
    </row>
    <row r="120" spans="1:7" x14ac:dyDescent="0.25">
      <c r="A120" s="91" t="str">
        <f ca="1"/>
        <v>Investeringen</v>
      </c>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t="str" cm="1">
        <f t="array" aca="1" ref="A133:A134" ca="1">OFFSET(Lijsten!$AJ$1,1,1,IF(COUNTIF(Lijsten!$AJ$1:$AJ$100,"&lt;&gt;"&amp;"")&gt;1,COUNTIF(Lijsten!$AJ$1:$AJ$100,"&lt;&gt;"&amp;"")-1,COUNTIF(Lijsten!$AJ$1:$AJ$100,"&lt;&gt;"&amp;"")))</f>
        <v>Uitvoering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t="str">
        <f ca="1"/>
        <v>Investeringen</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334</v>
      </c>
      <c r="C146" s="272" t="s">
        <v>335</v>
      </c>
      <c r="D146" s="272" t="s">
        <v>336</v>
      </c>
      <c r="E146" s="272" t="s">
        <v>337</v>
      </c>
      <c r="F146" s="272" t="s">
        <v>338</v>
      </c>
      <c r="G146" s="272" t="s">
        <v>339</v>
      </c>
      <c r="H146" s="272" t="s">
        <v>340</v>
      </c>
      <c r="I146" s="272" t="s">
        <v>341</v>
      </c>
      <c r="J146" s="272" t="s">
        <v>342</v>
      </c>
      <c r="K146" s="272" t="s">
        <v>343</v>
      </c>
      <c r="L146" s="272" t="s">
        <v>344</v>
      </c>
      <c r="M146" s="272" t="s">
        <v>375</v>
      </c>
      <c r="N146" s="272" t="s">
        <v>376</v>
      </c>
      <c r="O146" s="272" t="s">
        <v>377</v>
      </c>
    </row>
    <row r="147" spans="1:15" x14ac:dyDescent="0.25">
      <c r="A147" s="91" t="str" cm="1">
        <f t="array" aca="1" ref="A147:A148" ca="1">OFFSET(Spec_Lijsten!$A$1,1,1,IF(COUNTIF(Spec_Lijsten!$A:$A,"&lt;&gt;"&amp;"")&gt;1,COUNTIF(Spec_Lijsten!$A:$A,"&lt;&gt;"&amp;"")-1,COUNTIF(Spec_Lijsten!A:A,"&lt;&gt;"&amp;"")))</f>
        <v>Uitvoering samenwerkingsproject</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t="str">
        <f ca="1"/>
        <v>Investeringen</v>
      </c>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334</v>
      </c>
      <c r="C160" s="272" t="s">
        <v>335</v>
      </c>
      <c r="D160" s="272" t="s">
        <v>336</v>
      </c>
      <c r="E160" s="272" t="s">
        <v>337</v>
      </c>
      <c r="F160" s="272" t="s">
        <v>338</v>
      </c>
      <c r="G160" s="272" t="s">
        <v>339</v>
      </c>
      <c r="H160" s="272" t="s">
        <v>340</v>
      </c>
      <c r="I160" s="272" t="s">
        <v>341</v>
      </c>
      <c r="J160" s="272" t="s">
        <v>342</v>
      </c>
      <c r="K160" s="272" t="s">
        <v>343</v>
      </c>
      <c r="L160" s="272" t="s">
        <v>344</v>
      </c>
      <c r="M160" s="272" t="s">
        <v>375</v>
      </c>
      <c r="N160" s="272" t="s">
        <v>376</v>
      </c>
      <c r="O160" s="272" t="s">
        <v>377</v>
      </c>
    </row>
    <row r="161" spans="1:15" x14ac:dyDescent="0.25">
      <c r="A161" s="91" t="str" cm="1">
        <f t="array" aca="1" ref="A161:A162" ca="1">OFFSET(Lijsten!$AJ$1,1,1,IF(COUNTIF(Lijsten!$AJ$1:$AJ$100,"&lt;&gt;"&amp;"")&gt;1,COUNTIF(Lijsten!$AJ$1:$AJ$100,"&lt;&gt;"&amp;"")-1,COUNTIF(Lijsten!$AJ$1:$AJ$100,"&lt;&gt;"&amp;"")))</f>
        <v>Uitvoering samenwerkingsproject</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t="str">
        <f ca="1"/>
        <v>Investeringen</v>
      </c>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334</v>
      </c>
      <c r="C174" s="272" t="s">
        <v>335</v>
      </c>
      <c r="D174" s="272" t="s">
        <v>336</v>
      </c>
      <c r="E174" s="272" t="s">
        <v>337</v>
      </c>
      <c r="F174" s="272" t="s">
        <v>338</v>
      </c>
      <c r="G174" s="272" t="s">
        <v>339</v>
      </c>
      <c r="H174" s="272" t="s">
        <v>340</v>
      </c>
      <c r="I174" s="272" t="s">
        <v>341</v>
      </c>
      <c r="J174" s="272" t="s">
        <v>342</v>
      </c>
      <c r="K174" s="272" t="s">
        <v>343</v>
      </c>
      <c r="L174" s="272" t="s">
        <v>344</v>
      </c>
      <c r="M174" s="272" t="s">
        <v>375</v>
      </c>
      <c r="N174" s="272" t="s">
        <v>376</v>
      </c>
      <c r="O174" s="272" t="s">
        <v>377</v>
      </c>
    </row>
    <row r="175" spans="1:15" x14ac:dyDescent="0.25">
      <c r="A175" s="91" t="str" cm="1">
        <f t="array" aca="1" ref="A175:A176" ca="1">OFFSET(Lijsten!$AJ$1,1,1,IF(COUNTIF(Lijsten!$AJ$1:$AJ$100,"&lt;&gt;"&amp;"")&gt;1,COUNTIF(Lijsten!$AJ$1:$AJ$100,"&lt;&gt;"&amp;"")-1,COUNTIF(Lijsten!$AJ$1:$AJ$100,"&lt;&gt;"&amp;"")))</f>
        <v>Uitvoering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t="str">
        <f ca="1"/>
        <v>Investeringen</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1</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1</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378</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379</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380</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C3">IFERROR(_xlfn._xlws.FILTER(D2:D11,D2:D11&gt;"-"),"")</f>
        <v>Geen vereenvoudigde kostenoptie</v>
      </c>
      <c r="D2" s="160" t="str">
        <f>IFERROR(IF(VLOOKUP(Openstelling_Keuze,Tb_Openstelling[],F2,FALSE)=1,B2,"-"),"-")</f>
        <v>Geen vereenvoudigde kostenoptie</v>
      </c>
      <c r="E2" s="156" t="s">
        <v>191</v>
      </c>
      <c r="F2" s="160">
        <f>IFERROR(MATCH(E2,Tb_Openstelling[#Headers],0),"")</f>
        <v>3</v>
      </c>
    </row>
    <row r="3" spans="2:6" x14ac:dyDescent="0.25">
      <c r="B3" s="160" t="s">
        <v>23</v>
      </c>
      <c r="C3" s="161" t="str">
        <v>Vereenvoudigde kostenoptie voor arbeidskosten</v>
      </c>
      <c r="D3" s="160" t="str">
        <f>IFERROR(IF(VLOOKUP(Openstelling_Keuze,Tb_Openstelling[],F3,FALSE)=1,B3,"-"),"-")</f>
        <v>Vereenvoudigde kostenoptie voor arbeidskosten</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48" sqref="B48"/>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Geen vereenvoudigde kostenoptie</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QO4eM9uYbCWngn2JnEC5K51VzbR676BN2tPUKQNsbw95Z3bGIyFejiKLFy+Bvr3g0ERrs9oxX4PEXwCqJj8iw==" saltValue="JY+I3+6HxQzhpXS+C2SeBA=="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Geen vereenvoudigde kostenoptie</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Geen vereenvoudigde kostenoptie</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ja</v>
      </c>
      <c r="U5" s="352">
        <f>IF(T5="ja",0.442*(1.15)+0.15,0.442)</f>
        <v>0.6583</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ja</v>
      </c>
      <c r="U6" s="352">
        <f t="shared" ref="U6:U54" si="7">IF(T6="ja",0.442*(1.15)+0.15,0.442)</f>
        <v>0.6583</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ja</v>
      </c>
      <c r="U7" s="352">
        <f t="shared" si="7"/>
        <v>0.6583</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ja</v>
      </c>
      <c r="U8" s="352">
        <f t="shared" si="7"/>
        <v>0.6583</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ja</v>
      </c>
      <c r="U9" s="352">
        <f t="shared" si="7"/>
        <v>0.6583</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ja</v>
      </c>
      <c r="U10" s="352">
        <f t="shared" si="7"/>
        <v>0.6583</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ja</v>
      </c>
      <c r="U11" s="352">
        <f t="shared" si="7"/>
        <v>0.6583</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ja</v>
      </c>
      <c r="U12" s="352">
        <f t="shared" si="7"/>
        <v>0.6583</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ja</v>
      </c>
      <c r="U13" s="352">
        <f t="shared" si="7"/>
        <v>0.6583</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ja</v>
      </c>
      <c r="U14" s="352">
        <f t="shared" si="7"/>
        <v>0.6583</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ja</v>
      </c>
      <c r="U15" s="352">
        <f t="shared" si="7"/>
        <v>0.6583</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ja</v>
      </c>
      <c r="U16" s="352">
        <f t="shared" si="7"/>
        <v>0.6583</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ja</v>
      </c>
      <c r="U17" s="352">
        <f t="shared" si="7"/>
        <v>0.6583</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ja</v>
      </c>
      <c r="U18" s="352">
        <f t="shared" si="7"/>
        <v>0.6583</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ja</v>
      </c>
      <c r="U19" s="352">
        <f t="shared" si="7"/>
        <v>0.6583</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ja</v>
      </c>
      <c r="U20" s="352">
        <f t="shared" si="7"/>
        <v>0.6583</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ja</v>
      </c>
      <c r="U21" s="352">
        <f t="shared" si="7"/>
        <v>0.6583</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ja</v>
      </c>
      <c r="U22" s="352">
        <f t="shared" si="7"/>
        <v>0.6583</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ja</v>
      </c>
      <c r="U23" s="352">
        <f t="shared" si="7"/>
        <v>0.6583</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ja</v>
      </c>
      <c r="U24" s="352">
        <f t="shared" si="7"/>
        <v>0.6583</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ja</v>
      </c>
      <c r="U25" s="352">
        <f t="shared" si="7"/>
        <v>0.6583</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ja</v>
      </c>
      <c r="U26" s="352">
        <f t="shared" si="7"/>
        <v>0.6583</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ja</v>
      </c>
      <c r="U27" s="352">
        <f t="shared" si="7"/>
        <v>0.6583</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ja</v>
      </c>
      <c r="U28" s="352">
        <f t="shared" si="7"/>
        <v>0.6583</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ja</v>
      </c>
      <c r="U29" s="352">
        <f t="shared" si="7"/>
        <v>0.6583</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ja</v>
      </c>
      <c r="U30" s="352">
        <f t="shared" si="7"/>
        <v>0.6583</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ja</v>
      </c>
      <c r="U31" s="352">
        <f t="shared" si="7"/>
        <v>0.6583</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ja</v>
      </c>
      <c r="U32" s="352">
        <f t="shared" si="7"/>
        <v>0.6583</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ja</v>
      </c>
      <c r="U33" s="352">
        <f t="shared" si="7"/>
        <v>0.6583</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ja</v>
      </c>
      <c r="U34" s="352">
        <f t="shared" si="7"/>
        <v>0.6583</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ja</v>
      </c>
      <c r="U35" s="352">
        <f t="shared" si="7"/>
        <v>0.6583</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ja</v>
      </c>
      <c r="U36" s="352">
        <f t="shared" si="7"/>
        <v>0.6583</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ja</v>
      </c>
      <c r="U37" s="352">
        <f t="shared" si="7"/>
        <v>0.6583</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ja</v>
      </c>
      <c r="U38" s="352">
        <f t="shared" si="7"/>
        <v>0.6583</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ja</v>
      </c>
      <c r="U39" s="352">
        <f t="shared" si="7"/>
        <v>0.6583</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ja</v>
      </c>
      <c r="U40" s="352">
        <f t="shared" si="7"/>
        <v>0.6583</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ja</v>
      </c>
      <c r="U41" s="352">
        <f t="shared" si="7"/>
        <v>0.6583</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ja</v>
      </c>
      <c r="U42" s="352">
        <f t="shared" si="7"/>
        <v>0.6583</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ja</v>
      </c>
      <c r="U43" s="352">
        <f t="shared" si="7"/>
        <v>0.6583</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ja</v>
      </c>
      <c r="U44" s="352">
        <f t="shared" si="7"/>
        <v>0.6583</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ja</v>
      </c>
      <c r="U45" s="352">
        <f t="shared" si="7"/>
        <v>0.6583</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ja</v>
      </c>
      <c r="U46" s="352">
        <f t="shared" si="7"/>
        <v>0.6583</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ja</v>
      </c>
      <c r="U47" s="352">
        <f t="shared" si="7"/>
        <v>0.6583</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ja</v>
      </c>
      <c r="U48" s="352">
        <f t="shared" si="7"/>
        <v>0.6583</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ja</v>
      </c>
      <c r="U49" s="352">
        <f t="shared" si="7"/>
        <v>0.6583</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ja</v>
      </c>
      <c r="U50" s="352">
        <f t="shared" si="7"/>
        <v>0.6583</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ja</v>
      </c>
      <c r="U51" s="352">
        <f t="shared" si="7"/>
        <v>0.6583</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ja</v>
      </c>
      <c r="U52" s="352">
        <f t="shared" si="7"/>
        <v>0.6583</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ja</v>
      </c>
      <c r="U53" s="352">
        <f t="shared" si="7"/>
        <v>0.6583</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ja</v>
      </c>
      <c r="U54" s="352">
        <f t="shared" si="7"/>
        <v>0.6583</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C2" sqref="C2"/>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Samenwerken aan innovatie (EIP) Zeeland</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Geen vereenvoudigde kostenoptie</v>
      </c>
      <c r="D2" s="122"/>
      <c r="E2" s="123"/>
      <c r="F2" s="123"/>
      <c r="G2" s="123"/>
      <c r="H2" s="123"/>
      <c r="I2" s="123"/>
      <c r="J2" s="123"/>
      <c r="K2" s="123"/>
      <c r="L2" s="123"/>
      <c r="M2" s="123"/>
      <c r="N2" s="123"/>
      <c r="O2" s="123"/>
      <c r="P2" s="123"/>
      <c r="Q2" s="123"/>
      <c r="R2" s="123"/>
      <c r="S2" s="123"/>
      <c r="T2" s="123"/>
      <c r="U2" s="123"/>
    </row>
    <row r="3" spans="1:21" ht="96.75" customHeight="1" x14ac:dyDescent="0.25">
      <c r="A3" s="112"/>
      <c r="B3" s="394" t="s">
        <v>506</v>
      </c>
      <c r="C3" s="394"/>
      <c r="D3" s="394"/>
      <c r="E3" s="394"/>
      <c r="F3" s="394"/>
      <c r="G3" s="264"/>
      <c r="H3" s="265"/>
      <c r="I3" s="398" t="str">
        <f>IF(COUNTIF($F$5:$F$250,Openstelling_Activiteit!$X$3)&gt;0,"Jaartal of Loonkosten nr (uit tabblad 4)","Loonkosten nr (uit tabblad 4)")</f>
        <v>Loonkosten nr (uit tabblad 4)</v>
      </c>
      <c r="J3" s="400" t="s">
        <v>4</v>
      </c>
      <c r="K3" s="401"/>
      <c r="L3" s="404" t="str">
        <f>IF(COUNTIF($F$5:$F$250,Openstelling_Activiteit!$X$3)&gt;0,"Aantal uur/ eenheden","Aantal uur")</f>
        <v>Aantal uur</v>
      </c>
      <c r="M3" s="405"/>
      <c r="N3" s="400" t="s">
        <v>50</v>
      </c>
      <c r="O3" s="401"/>
      <c r="P3" s="409" t="s">
        <v>6</v>
      </c>
      <c r="Q3" s="410"/>
      <c r="R3" s="409" t="s">
        <v>207</v>
      </c>
      <c r="S3" s="410"/>
      <c r="T3" s="406" t="s">
        <v>56</v>
      </c>
      <c r="U3" s="395" t="s">
        <v>61</v>
      </c>
    </row>
    <row r="4" spans="1:21" ht="15" customHeight="1" x14ac:dyDescent="0.25">
      <c r="A4" s="112"/>
      <c r="B4" s="110"/>
      <c r="C4" s="111"/>
      <c r="D4" s="112"/>
      <c r="E4" s="112"/>
      <c r="F4" s="112"/>
      <c r="G4" s="113"/>
      <c r="H4" s="266"/>
      <c r="I4" s="398"/>
      <c r="J4" s="402"/>
      <c r="K4" s="403"/>
      <c r="L4" s="385"/>
      <c r="M4" s="386"/>
      <c r="N4" s="402"/>
      <c r="O4" s="403"/>
      <c r="P4" s="72">
        <f ca="1" xml:space="preserve"> SUBTOTAL(9,P6:P250)</f>
        <v>0</v>
      </c>
      <c r="Q4" s="72">
        <f ca="1" xml:space="preserve"> SUBTOTAL(9,Q6:Q250)</f>
        <v>0</v>
      </c>
      <c r="R4" s="72">
        <f ca="1" xml:space="preserve"> SUBTOTAL(9,R6:R250)</f>
        <v>0</v>
      </c>
      <c r="S4" s="72">
        <f ca="1" xml:space="preserve"> SUBTOTAL(9,S6:S250)</f>
        <v>0</v>
      </c>
      <c r="T4" s="407"/>
      <c r="U4" s="396"/>
    </row>
    <row r="5" spans="1:21" ht="30" x14ac:dyDescent="0.25">
      <c r="A5" s="116" t="s">
        <v>135</v>
      </c>
      <c r="B5" s="116" t="s">
        <v>58</v>
      </c>
      <c r="C5" s="116" t="s">
        <v>2</v>
      </c>
      <c r="D5" s="116" t="s">
        <v>38</v>
      </c>
      <c r="E5" s="116" t="s">
        <v>153</v>
      </c>
      <c r="F5" s="116" t="s">
        <v>0</v>
      </c>
      <c r="G5" s="116" t="s">
        <v>321</v>
      </c>
      <c r="H5" s="267" t="s">
        <v>42</v>
      </c>
      <c r="I5" s="399" t="s">
        <v>199</v>
      </c>
      <c r="J5" s="71" t="s">
        <v>60</v>
      </c>
      <c r="K5" s="71" t="s">
        <v>59</v>
      </c>
      <c r="L5" s="71" t="s">
        <v>60</v>
      </c>
      <c r="M5" s="71" t="s">
        <v>59</v>
      </c>
      <c r="N5" s="71" t="s">
        <v>60</v>
      </c>
      <c r="O5" s="71" t="s">
        <v>59</v>
      </c>
      <c r="P5" s="71" t="s">
        <v>60</v>
      </c>
      <c r="Q5" s="71" t="s">
        <v>59</v>
      </c>
      <c r="R5" s="71" t="s">
        <v>60</v>
      </c>
      <c r="S5" s="71" t="s">
        <v>59</v>
      </c>
      <c r="T5" s="408"/>
      <c r="U5" s="397"/>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Yl/Y/aiwXvuJzLqmSlANGRVlhi8ZnHd4XQoqNb8gh+UaAUR5s7x552EbpnsXFEUkFQqB+X8WOOghP8iGdkSeuQ==" saltValue="LizVJUUS4lhGTC04PK/U4Q==" spinCount="100000" sheet="1" objects="1" scenarios="1"/>
  <mergeCells count="9">
    <mergeCell ref="B3:F3"/>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sheetPr>
  <dimension ref="A1:AA62"/>
  <sheetViews>
    <sheetView showGridLines="0" zoomScaleNormal="100" workbookViewId="0">
      <selection activeCell="C1" sqref="C1"/>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
      </c>
      <c r="D1" s="24"/>
    </row>
    <row r="2" spans="2:13" x14ac:dyDescent="0.25">
      <c r="B2" s="17" t="s">
        <v>179</v>
      </c>
      <c r="C2" s="416" t="str">
        <f>IF('1. Aanvraaggegevens'!C2&lt;&gt;"",'1. Aanvraaggegevens'!C2,"")</f>
        <v>Samenwerken aan innovatie (EIP) Zeeland</v>
      </c>
      <c r="D2" s="416"/>
    </row>
    <row r="3" spans="2:13" ht="15" customHeight="1" x14ac:dyDescent="0.25">
      <c r="B3" s="17" t="s">
        <v>176</v>
      </c>
      <c r="C3" s="417" t="str">
        <f>IF('1. Aanvraaggegevens'!C3&lt;&gt;"",'1. Aanvraaggegevens'!C3,"")</f>
        <v/>
      </c>
      <c r="D3" s="417"/>
    </row>
    <row r="4" spans="2:13" ht="15" customHeight="1" x14ac:dyDescent="0.25">
      <c r="B4" s="17" t="s">
        <v>177</v>
      </c>
      <c r="C4" s="417" t="str">
        <f>IF('1. Aanvraaggegevens'!C4&lt;&gt;"",'1. Aanvraaggegevens'!C4,"")</f>
        <v/>
      </c>
      <c r="D4" s="417"/>
    </row>
    <row r="5" spans="2:13" ht="15" customHeight="1" x14ac:dyDescent="0.25">
      <c r="B5" s="17" t="s">
        <v>178</v>
      </c>
      <c r="C5" s="417" t="str">
        <f>IF('1. Aanvraaggegevens'!C5&lt;&gt;"",'1. Aanvraaggegevens'!C5,"")</f>
        <v/>
      </c>
      <c r="D5" s="417"/>
    </row>
    <row r="6" spans="2:13" ht="15" customHeight="1" x14ac:dyDescent="0.25">
      <c r="B6" s="5"/>
      <c r="C6" s="418" t="str">
        <f>IF('1. Aanvraaggegevens'!C6&lt;&gt;"",'1. Aanvraaggegevens'!C6,"")</f>
        <v/>
      </c>
      <c r="D6" s="418"/>
    </row>
    <row r="7" spans="2:13" ht="4.5" customHeight="1" x14ac:dyDescent="0.25">
      <c r="C7" s="26"/>
      <c r="D7" s="26"/>
    </row>
    <row r="8" spans="2:13" ht="15" customHeight="1" x14ac:dyDescent="0.25">
      <c r="B8" s="151" t="s">
        <v>175</v>
      </c>
      <c r="C8" s="415" t="str">
        <f>IF('1. Aanvraaggegevens'!C8&lt;&gt;"",'1. Aanvraaggegevens'!C8,"")</f>
        <v>Geen vereenvoudigde kostenoptie</v>
      </c>
      <c r="D8" s="415"/>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B15" ca="1">IFERROR(Posten_Uniek,"")</f>
        <v>Arbeidskosten</v>
      </c>
      <c r="C11" s="295">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t="str">
        <f ca="1"/>
        <v>Arbeidskosten op basis van IKS</v>
      </c>
      <c r="C12" s="295">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25">
      <c r="B13" s="202" t="str">
        <f ca="1"/>
        <v>Kosten derden exclusief btw</v>
      </c>
      <c r="C13" s="295">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25">
      <c r="B14" s="6" t="str">
        <f ca="1"/>
        <v>Grondkosten</v>
      </c>
      <c r="C14" s="295">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25">
      <c r="B15" s="6" t="str">
        <f ca="1"/>
        <v>Niet verrekenbare btw</v>
      </c>
      <c r="C15" s="295">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5" t="s">
        <v>11</v>
      </c>
      <c r="C44" s="426"/>
      <c r="D44" s="426"/>
      <c r="E44" s="427"/>
      <c r="F44" s="411" t="str">
        <f>IF(H45&lt;&gt;"","Onderhoud","")</f>
        <v/>
      </c>
      <c r="G44" s="412"/>
      <c r="H44" s="412"/>
      <c r="O44" s="46" t="s">
        <v>50</v>
      </c>
      <c r="P44" s="80" t="s">
        <v>171</v>
      </c>
      <c r="Q44" s="80" t="s">
        <v>170</v>
      </c>
    </row>
    <row r="45" spans="2:17" ht="34.5" customHeight="1" x14ac:dyDescent="0.25">
      <c r="B45" s="205" t="s">
        <v>63</v>
      </c>
      <c r="C45" s="206">
        <f ca="1">IFERROR(SUMIF(B11:C21,B44,C11:C21)/C24,0)</f>
        <v>0</v>
      </c>
      <c r="D45" s="421" t="str" cm="1">
        <f t="array" aca="1" ref="D45" ca="1">IF(C45&gt;0,"Maximaal "&amp; IFERROR(VLOOKUP(Openstelling_Keuze,IF(ISBLANK(Tb_Openstelling[Grond_%]),0,Tb_Openstelling[]),MATCH(Tb_Openstelling[[#Headers],[Grond_%]],Tb_Openstelling[#Headers],0),0)*100,10) &amp; "% van de subsidiabele kosten mag bestaan uit grondkosten.","")</f>
        <v/>
      </c>
      <c r="E45" s="422"/>
      <c r="F45" s="413" t="str">
        <f>IF($F$44&lt;&gt;"","Aandeel onderhoudskosten over totale investeringen","")</f>
        <v/>
      </c>
      <c r="G45" s="414"/>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3" t="str">
        <f>IF($F$44&lt;&gt;"","Bedrag onderhoud waarover subsidie verstrekt kan worden","")</f>
        <v/>
      </c>
      <c r="G46" s="414"/>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3" t="str">
        <f>IF($F$44&lt;&gt;"","Aftopping onderhoudskosten","")</f>
        <v/>
      </c>
      <c r="G47" s="414"/>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3" t="str">
        <f>IF($F$44&lt;&gt;"","Maximaal bedrag onderhoudskosten","")</f>
        <v/>
      </c>
      <c r="G48" s="414"/>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3" t="str">
        <f>IF($F$44&lt;&gt;"","Totaal projectkosten met maximaal aandeel onderhoudskosten","")</f>
        <v/>
      </c>
      <c r="G49" s="414"/>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f ca="1">IFERROR(C15*($P51/$C15),C15)</f>
        <v>0</v>
      </c>
    </row>
    <row r="52" spans="2:17" ht="15" customHeight="1" x14ac:dyDescent="0.25">
      <c r="B52" s="428" t="s">
        <v>128</v>
      </c>
      <c r="C52" s="429"/>
      <c r="D52" s="429"/>
      <c r="E52" s="430"/>
      <c r="F52" s="411" t="str">
        <f>IF(H53&lt;&gt;"","Samenwerking","")</f>
        <v/>
      </c>
      <c r="G52" s="412"/>
      <c r="H52" s="412"/>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9"/>
      <c r="E53" s="420"/>
      <c r="F53" s="413" t="str">
        <f>IF($F$52&lt;&gt;"","Aandeel samenwerkingskosten over totale projectkosten","")</f>
        <v/>
      </c>
      <c r="G53" s="414"/>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 ca="1">SUM(Q53:Q53)</f>
        <v>0</v>
      </c>
      <c r="Q53" s="49" t="str">
        <f ca="1">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3" t="str">
        <f>IF($F$52&lt;&gt;"","Bedrag samenwerking waarover subsidie verstrekt kan worden","")</f>
        <v/>
      </c>
      <c r="G54" s="414"/>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382</v>
      </c>
      <c r="C55" s="204">
        <f ca="1">IF(C50&lt;&gt;0,MIN(C50,C49-SUMIFS(SubsidieTabel!$J:$J,SubsidieTabel!$C:$C,"=Bijdrage*")),MIN(E40,C24-SUMIFS(SubsidieTabel!$J:$J,SubsidieTabel!$C:$C,"=Bijdrage*")))</f>
        <v>0</v>
      </c>
      <c r="D55" s="423" t="str">
        <f ca="1">IF(AND(C55&lt;E40,C53&lt;0),"Het subsidiebedrag mag niet meer bedragen dan de projectkosten minus de bijdrage in natura.","")</f>
        <v/>
      </c>
      <c r="E55" s="424"/>
      <c r="F55" s="413" t="str">
        <f>IF($F$52&lt;&gt;"","Aftopping samenwerkingskosten","")</f>
        <v/>
      </c>
      <c r="G55" s="414"/>
      <c r="H55" s="294" t="str">
        <f>IF($F$52&lt;&gt;"",IF(H56-SUM(SubsidieTabel!$S:$S)&lt;0,H56-SUM(SubsidieTabel!$S:$S),""),"")</f>
        <v/>
      </c>
      <c r="I55" s="26"/>
      <c r="O55" s="48" t="s">
        <v>167</v>
      </c>
      <c r="P55" s="49">
        <f ca="1">P53-SUMIFS(SubsidieTabel!$M:$M,SubsidieTabel!$B:$B,'6. Begrotingsoverzicht'!$O$47)</f>
        <v>0</v>
      </c>
      <c r="Q55" s="49"/>
    </row>
    <row r="56" spans="2:17" ht="15" customHeight="1" x14ac:dyDescent="0.25">
      <c r="B56" s="213"/>
      <c r="C56" s="214"/>
      <c r="D56" s="215"/>
      <c r="E56" s="216"/>
      <c r="F56" s="413" t="str">
        <f>IF($F$52&lt;&gt;"","Maximaal bedrag samenwerkingskosten","")</f>
        <v/>
      </c>
      <c r="G56" s="414"/>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2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24"/>
      <c r="F57" s="413" t="str">
        <f>IF($F$52&lt;&gt;"","Totaal projectkosten met maximaal aandeel samenwerkingskosten","")</f>
        <v/>
      </c>
      <c r="G57" s="414"/>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31496062992125984" right="0.31496062992125984" top="0.15748031496062992" bottom="0.15748031496062992" header="0" footer="0.19685039370078741"/>
  <pageSetup paperSize="9" scale="60" orientation="landscape" r:id="rId1"/>
  <headerFooter>
    <oddFooter>&amp;C&amp;A&amp;R&amp;P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
      </c>
    </row>
    <row r="2" spans="2:15" ht="28.5" customHeight="1" x14ac:dyDescent="0.25">
      <c r="B2" s="17" t="s">
        <v>72</v>
      </c>
      <c r="C2" s="416" t="str">
        <f>IF('1. Aanvraaggegevens'!C2&lt;&gt;"",'1. Aanvraaggegevens'!C2,"")</f>
        <v>Samenwerken aan innovatie (EIP) Zeeland</v>
      </c>
      <c r="D2" s="416"/>
    </row>
    <row r="3" spans="2:15" ht="15" customHeight="1" x14ac:dyDescent="0.25">
      <c r="B3" s="17" t="s">
        <v>16</v>
      </c>
      <c r="C3" s="417" t="str">
        <f>IF('1. Aanvraaggegevens'!C3&lt;&gt;"",'1. Aanvraaggegevens'!C3,"")</f>
        <v/>
      </c>
      <c r="D3" s="417"/>
    </row>
    <row r="4" spans="2:15" ht="15" customHeight="1" x14ac:dyDescent="0.25">
      <c r="B4" s="17" t="s">
        <v>17</v>
      </c>
      <c r="C4" s="417" t="str">
        <f>IF('1. Aanvraaggegevens'!C4&lt;&gt;"",'1. Aanvraaggegevens'!C4,"")</f>
        <v/>
      </c>
      <c r="D4" s="417"/>
      <c r="I4" s="154"/>
      <c r="J4" s="154"/>
      <c r="K4" s="154"/>
      <c r="L4" s="154"/>
      <c r="M4" s="154"/>
      <c r="N4" s="154"/>
      <c r="O4" s="154"/>
    </row>
    <row r="5" spans="2:15" ht="15" customHeight="1" x14ac:dyDescent="0.25">
      <c r="B5" s="17" t="s">
        <v>18</v>
      </c>
      <c r="C5" s="417" t="str">
        <f>IF('1. Aanvraaggegevens'!C5&lt;&gt;"",'1. Aanvraaggegevens'!C5,"")</f>
        <v/>
      </c>
      <c r="D5" s="417"/>
      <c r="I5" s="147"/>
      <c r="J5" s="147"/>
      <c r="K5" s="147"/>
      <c r="L5" s="147"/>
      <c r="M5" s="147"/>
      <c r="N5" s="147"/>
      <c r="O5" s="147"/>
    </row>
    <row r="6" spans="2:15" ht="15" customHeight="1" x14ac:dyDescent="0.25">
      <c r="B6" s="5"/>
      <c r="C6" s="418" t="str">
        <f>IF('1. Aanvraaggegevens'!C6&lt;&gt;"",'1. Aanvraaggegevens'!C6,"")</f>
        <v/>
      </c>
      <c r="D6" s="418"/>
      <c r="I6" s="147"/>
      <c r="J6" s="147"/>
      <c r="K6" s="147"/>
      <c r="L6" s="147"/>
      <c r="M6" s="147"/>
      <c r="N6" s="147"/>
      <c r="O6" s="147"/>
    </row>
    <row r="7" spans="2:15" ht="2.4500000000000002" customHeight="1" x14ac:dyDescent="0.25">
      <c r="C7" s="227" t="str">
        <f>IF($C$8="","Kies op tabblad '1. Aanvraag gegevens' de juiste methode","")</f>
        <v/>
      </c>
      <c r="D7" s="26"/>
    </row>
    <row r="8" spans="2:15" ht="15" customHeight="1" x14ac:dyDescent="0.25">
      <c r="B8" s="18" t="s">
        <v>19</v>
      </c>
      <c r="C8" s="415" t="str">
        <f>IF('1. Aanvraaggegevens'!C8&lt;&gt;"",'1. Aanvraaggegevens'!C8,"")</f>
        <v>Geen vereenvoudigde kostenoptie</v>
      </c>
      <c r="D8" s="415"/>
      <c r="F8" s="24" t="s">
        <v>220</v>
      </c>
    </row>
    <row r="9" spans="2:15" ht="2.1" customHeight="1" x14ac:dyDescent="0.25"/>
    <row r="10" spans="2:15" ht="45" customHeight="1" x14ac:dyDescent="0.25">
      <c r="B10" s="186" t="s">
        <v>0</v>
      </c>
      <c r="C10" s="187" t="s">
        <v>235</v>
      </c>
      <c r="D10" s="188" t="s">
        <v>383</v>
      </c>
      <c r="E10" s="188" t="s">
        <v>346</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B15" ca="1">IFERROR(Posten_Uniek,"")</f>
        <v>Arbeidskosten</v>
      </c>
      <c r="C11" s="295">
        <f ca="1">IF(B11="","",SUMIF(Tb_ProjectKosten[Begroting],'Beoordeeld begrotingsoverzicht'!B11,Tb_ProjectKosten[Kosten_Beoordeeld]))</f>
        <v>0</v>
      </c>
      <c r="D11" s="275">
        <f ca="1">IF(B11="","",IF(AND($C$49&lt;Beoord_Totaal_Project,$C11&gt;0,IFERROR(FIND("Grond",B11),FALSE)),ROUND(($C11/SUMIFS(SubsidieTabel!$K:$K,SubsidieTabel!$C:$C,"=Grond*"))*(IF($C$46&lt;&gt;"",$D$46,SUMIFS(SubsidieTabel!$K:$K,SubsidieTabel!$C:$C,"=Grond*"))),2),$C11))</f>
        <v>0</v>
      </c>
      <c r="E11" s="275">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t="str">
        <f ca="1"/>
        <v>Arbeidskosten op basis van IKS</v>
      </c>
      <c r="C12" s="295">
        <f ca="1">IF(B12="","",SUMIF(Tb_ProjectKosten[Begroting],'Beoordeeld begrotingsoverzicht'!B12,Tb_ProjectKosten[Kosten_Beoordeeld]))</f>
        <v>0</v>
      </c>
      <c r="D12" s="275">
        <f ca="1">IF(B12="","",IF(AND($C$49&lt;Beoord_Totaal_Project,$C12&gt;0,IFERROR(FIND("Grond",B12),FALSE)),ROUND(($C12/SUMIFS(SubsidieTabel!$K:$K,SubsidieTabel!$C:$C,"=Grond*"))*(IF($C$46&lt;&gt;"",$D$46,SUMIFS(SubsidieTabel!$K:$K,SubsidieTabel!$C:$C,"=Grond*"))),2),$C12))</f>
        <v>0</v>
      </c>
      <c r="E12" s="275">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25">
      <c r="B13" s="6" t="str">
        <f ca="1"/>
        <v>Kosten derden exclusief btw</v>
      </c>
      <c r="C13" s="295">
        <f ca="1">IF(B13="","",SUMIF(Tb_ProjectKosten[Begroting],'Beoordeeld begrotingsoverzicht'!B13,Tb_ProjectKosten[Kosten_Beoordeeld]))</f>
        <v>0</v>
      </c>
      <c r="D13" s="275">
        <f ca="1">IF(B13="","",IF(AND($C$49&lt;Beoord_Totaal_Project,$C13&gt;0,IFERROR(FIND("Grond",B13),FALSE)),ROUND(($C13/SUMIFS(SubsidieTabel!$K:$K,SubsidieTabel!$C:$C,"=Grond*"))*(IF($C$46&lt;&gt;"",$D$46,SUMIFS(SubsidieTabel!$K:$K,SubsidieTabel!$C:$C,"=Grond*"))),2),$C13))</f>
        <v>0</v>
      </c>
      <c r="E13" s="275">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25">
      <c r="B14" s="6" t="str">
        <f ca="1"/>
        <v>Grondkosten</v>
      </c>
      <c r="C14" s="295">
        <f ca="1">IF(B14="","",SUMIF(Tb_ProjectKosten[Begroting],'Beoordeeld begrotingsoverzicht'!B14,Tb_ProjectKosten[Kosten_Beoordeeld]))</f>
        <v>0</v>
      </c>
      <c r="D14" s="275">
        <f ca="1">IF(B14="","",IF(AND($C$49&lt;Beoord_Totaal_Project,$C14&gt;0,IFERROR(FIND("Grond",B14),FALSE)),ROUND(($C14/SUMIFS(SubsidieTabel!$K:$K,SubsidieTabel!$C:$C,"=Grond*"))*(IF($C$46&lt;&gt;"",$D$46,SUMIFS(SubsidieTabel!$K:$K,SubsidieTabel!$C:$C,"=Grond*"))),2),$C14))</f>
        <v>0</v>
      </c>
      <c r="E14" s="275">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25">
      <c r="B15" s="6" t="str">
        <f ca="1"/>
        <v>Niet verrekenbare btw</v>
      </c>
      <c r="C15" s="295">
        <f ca="1">IF(B15="","",SUMIF(Tb_ProjectKosten[Begroting],'Beoordeeld begrotingsoverzicht'!B15,Tb_ProjectKosten[Kosten_Beoordeeld]))</f>
        <v>0</v>
      </c>
      <c r="D15" s="275">
        <f ca="1">IF(B15="","",IF(AND($C$49&lt;Beoord_Totaal_Project,$C15&gt;0,IFERROR(FIND("Grond",B15),FALSE)),ROUND(($C15/SUMIFS(SubsidieTabel!$K:$K,SubsidieTabel!$C:$C,"=Grond*"))*(IF($C$46&lt;&gt;"",$D$46,SUMIFS(SubsidieTabel!$K:$K,SubsidieTabel!$C:$C,"=Grond*"))),2),$C15))</f>
        <v>0</v>
      </c>
      <c r="E15" s="275">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1" t="s">
        <v>11</v>
      </c>
      <c r="C44" s="432"/>
      <c r="D44" s="432"/>
      <c r="E44" s="433"/>
      <c r="F44" s="411" t="str">
        <f>IF(H45&lt;&gt;"","Onderhoud","")</f>
        <v/>
      </c>
      <c r="G44" s="412"/>
      <c r="H44" s="412"/>
      <c r="I44" s="25"/>
      <c r="J44" s="25"/>
    </row>
    <row r="45" spans="2:11" ht="31.5" customHeight="1" x14ac:dyDescent="0.25">
      <c r="B45" s="205" t="s">
        <v>63</v>
      </c>
      <c r="C45" s="217">
        <f ca="1">IFERROR(SUMIF(B11:C21,B44,C11:C21)/Beoord_Totaal_Project,0)</f>
        <v>0</v>
      </c>
      <c r="D45" s="434" t="str" cm="1">
        <f t="array" aca="1" ref="D45" ca="1">IF(C45&gt;0,"Maximaal "&amp; IFERROR(VLOOKUP(Openstelling_Keuze,IF(ISBLANK(Tb_Openstelling[Grond_%]),0,Tb_Openstelling[]),MATCH(Tb_Openstelling[[#Headers],[Grond_%]],Tb_Openstelling[#Headers],0),0)*100,10) &amp; "% van de subsidiabele kosten mag bestaan uit grondkosten.","")</f>
        <v/>
      </c>
      <c r="E45" s="435"/>
      <c r="F45" s="413" t="str">
        <f>IF($F$44&lt;&gt;"","Aandeel onderhoudskosten over totale investeringen","")</f>
        <v/>
      </c>
      <c r="G45" s="414"/>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3" t="str">
        <f>IF($F$44&lt;&gt;"","Bedrag onderhoud waarover subsidie verstrekt kan worden","")</f>
        <v/>
      </c>
      <c r="G46" s="414"/>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3" t="str">
        <f>IF($F$44&lt;&gt;"","Aftopping onderhoudskosten","")</f>
        <v/>
      </c>
      <c r="G47" s="414"/>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3" t="str">
        <f>IF($F$44&lt;&gt;"","Maximaal bedrag onderhoudskosten","")</f>
        <v/>
      </c>
      <c r="G48" s="414"/>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3" t="str">
        <f>IF($F$44&lt;&gt;"","Totaal projectkosten met maximaal aandeel onderhoudskosten","")</f>
        <v/>
      </c>
      <c r="G49" s="414"/>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8" t="s">
        <v>128</v>
      </c>
      <c r="C52" s="429"/>
      <c r="D52" s="429"/>
      <c r="E52" s="430"/>
      <c r="F52" s="411" t="str">
        <f>IF(H53&lt;&gt;"","Samenwerking","")</f>
        <v/>
      </c>
      <c r="G52" s="412"/>
      <c r="H52" s="412"/>
      <c r="K52" s="27"/>
      <c r="L52" s="27"/>
      <c r="M52" s="27"/>
      <c r="N52" s="27"/>
      <c r="O52" s="27"/>
    </row>
    <row r="53" spans="2:15" ht="15" customHeight="1" x14ac:dyDescent="0.25">
      <c r="B53" s="212" t="s">
        <v>70</v>
      </c>
      <c r="C53" s="204">
        <f ca="1">IF(C50&gt;0,0-(C50-C55),0-(E40-C55))</f>
        <v>0</v>
      </c>
      <c r="D53" s="419"/>
      <c r="E53" s="420"/>
      <c r="F53" s="413" t="str">
        <f>IF($F$52&lt;&gt;"","Aandeel samenwerkingskosten over totale projectkosten","")</f>
        <v/>
      </c>
      <c r="G53" s="414"/>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3" t="str">
        <f>IF($F$52&lt;&gt;"","Bedrag samenwerking waarover subsidie verstrekt kan worden","")</f>
        <v/>
      </c>
      <c r="G54" s="414"/>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382</v>
      </c>
      <c r="C55" s="204">
        <f ca="1">IF(C50&lt;&gt;0,MIN(C50,C49-SUMIFS(SubsidieTabel!$K:$K,SubsidieTabel!$C:$C,"=Bijdrage*")),MIN(E40,C24-SUMIFS(SubsidieTabel!$K:$K,SubsidieTabel!$C:$C,"=Bijdrage*")))</f>
        <v>0</v>
      </c>
      <c r="D55" s="419" t="str">
        <f ca="1">IF(AND(C55&lt;E40,C53&lt;0),"Het subsidiebedrag mag niet meer bedragen dan de projectkosten minus de bijdrage in natura.","")</f>
        <v/>
      </c>
      <c r="E55" s="420"/>
      <c r="F55" s="413" t="str">
        <f>IF($F$52&lt;&gt;"","Aftopping samenwerkingskosten","")</f>
        <v/>
      </c>
      <c r="G55" s="414"/>
      <c r="H55" s="294" t="str">
        <f>IF($F$52&lt;&gt;"",IF(H56-SUM(SubsidieTabel!$T:$T)&lt;0,H56-SUM(SubsidieTabel!$T:$T),""),"")</f>
        <v/>
      </c>
      <c r="I55" s="26"/>
    </row>
    <row r="56" spans="2:15" ht="15" customHeight="1" x14ac:dyDescent="0.25">
      <c r="B56" s="213"/>
      <c r="C56" s="214"/>
      <c r="D56" s="215"/>
      <c r="E56" s="216"/>
      <c r="F56" s="413" t="str">
        <f>IF($F$52&lt;&gt;"","Maximaal bedrag samenwerkingskosten","")</f>
        <v/>
      </c>
      <c r="G56" s="414"/>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9"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20"/>
      <c r="F57" s="413" t="str">
        <f>IF($F$52&lt;&gt;"","Totaal projectkosten met maximaal aandeel samenwerkingskosten","")</f>
        <v/>
      </c>
      <c r="G57" s="414"/>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election activeCell="X56" sqref="X56"/>
    </sheetView>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260</v>
      </c>
    </row>
    <row r="4" spans="1:16" x14ac:dyDescent="0.25">
      <c r="A4" s="232" t="s">
        <v>433</v>
      </c>
    </row>
    <row r="5" spans="1:16" x14ac:dyDescent="0.25">
      <c r="A5" s="232" t="s">
        <v>434</v>
      </c>
    </row>
    <row r="6" spans="1:16" x14ac:dyDescent="0.25">
      <c r="A6" s="232" t="s">
        <v>435</v>
      </c>
    </row>
    <row r="7" spans="1:16" x14ac:dyDescent="0.25">
      <c r="A7" s="232" t="s">
        <v>436</v>
      </c>
    </row>
    <row r="8" spans="1:16" x14ac:dyDescent="0.25">
      <c r="A8" s="232" t="s">
        <v>437</v>
      </c>
    </row>
    <row r="9" spans="1:16" x14ac:dyDescent="0.25">
      <c r="A9" s="230"/>
    </row>
    <row r="10" spans="1:16" x14ac:dyDescent="0.25">
      <c r="A10" s="231" t="s">
        <v>261</v>
      </c>
      <c r="B10" s="16"/>
      <c r="C10" s="16"/>
      <c r="D10" s="16"/>
      <c r="E10" s="16"/>
      <c r="F10" s="16"/>
      <c r="G10" s="16"/>
      <c r="H10" s="16"/>
      <c r="I10" s="16"/>
      <c r="J10" s="16"/>
      <c r="K10" s="16"/>
      <c r="L10" s="16"/>
      <c r="M10" s="16"/>
      <c r="N10" s="16"/>
      <c r="O10" s="16"/>
      <c r="P10" s="16"/>
    </row>
    <row r="11" spans="1:16" x14ac:dyDescent="0.25">
      <c r="A11" s="232" t="s">
        <v>358</v>
      </c>
      <c r="B11" s="16"/>
      <c r="C11" s="16"/>
      <c r="D11" s="16"/>
      <c r="E11" s="16"/>
      <c r="F11" s="16"/>
      <c r="G11" s="16"/>
      <c r="H11" s="16"/>
      <c r="I11" s="16"/>
      <c r="J11" s="16"/>
      <c r="K11" s="16"/>
      <c r="L11" s="16"/>
      <c r="M11" s="16"/>
      <c r="N11" s="16"/>
      <c r="O11" s="16"/>
      <c r="P11" s="16"/>
    </row>
    <row r="12" spans="1:16" x14ac:dyDescent="0.25">
      <c r="A12" s="232" t="s">
        <v>438</v>
      </c>
      <c r="B12" s="16"/>
      <c r="C12" s="16"/>
      <c r="D12" s="16"/>
      <c r="E12" s="16"/>
      <c r="F12" s="16"/>
      <c r="G12" s="16"/>
      <c r="H12" s="16"/>
      <c r="I12" s="16"/>
      <c r="J12" s="16"/>
      <c r="K12" s="16"/>
      <c r="L12" s="16"/>
      <c r="M12" s="16"/>
      <c r="N12" s="16"/>
      <c r="O12" s="16"/>
      <c r="P12" s="16"/>
    </row>
    <row r="13" spans="1:16" x14ac:dyDescent="0.25">
      <c r="A13" s="232" t="s">
        <v>439</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440</v>
      </c>
      <c r="B15" s="16"/>
      <c r="C15" s="16"/>
      <c r="D15" s="16"/>
      <c r="E15" s="16"/>
      <c r="F15" s="16"/>
      <c r="G15" s="16"/>
      <c r="H15" s="16"/>
      <c r="I15" s="16"/>
      <c r="J15" s="16"/>
      <c r="K15" s="16"/>
      <c r="L15" s="16"/>
      <c r="M15" s="16"/>
      <c r="N15" s="16"/>
      <c r="O15" s="16"/>
      <c r="P15" s="16"/>
    </row>
    <row r="16" spans="1:16" x14ac:dyDescent="0.25">
      <c r="A16" s="232" t="s">
        <v>359</v>
      </c>
      <c r="B16" s="16"/>
      <c r="C16" s="16"/>
      <c r="D16" s="16"/>
      <c r="E16" s="16"/>
      <c r="F16" s="16"/>
      <c r="G16" s="16"/>
      <c r="H16" s="16"/>
      <c r="I16" s="16"/>
      <c r="J16" s="16"/>
      <c r="K16" s="16"/>
      <c r="L16" s="16"/>
      <c r="M16" s="16"/>
      <c r="N16" s="16"/>
      <c r="O16" s="16"/>
      <c r="P16" s="16"/>
    </row>
    <row r="17" spans="1:16" x14ac:dyDescent="0.25">
      <c r="A17" s="232" t="s">
        <v>441</v>
      </c>
      <c r="B17" s="16"/>
      <c r="C17" s="16"/>
      <c r="D17" s="16"/>
      <c r="E17" s="16"/>
      <c r="F17" s="16"/>
      <c r="G17" s="16"/>
      <c r="H17" s="16"/>
      <c r="I17" s="16"/>
      <c r="J17" s="16"/>
      <c r="K17" s="16"/>
      <c r="L17" s="16"/>
      <c r="M17" s="16"/>
      <c r="N17" s="16"/>
      <c r="O17" s="16"/>
      <c r="P17" s="16"/>
    </row>
    <row r="18" spans="1:16" x14ac:dyDescent="0.25">
      <c r="A18" s="232" t="s">
        <v>262</v>
      </c>
      <c r="B18" s="16"/>
      <c r="C18" s="16"/>
      <c r="D18" s="16"/>
      <c r="E18" s="16"/>
      <c r="F18" s="16"/>
      <c r="G18" s="16"/>
      <c r="H18" s="16"/>
      <c r="I18" s="16"/>
      <c r="J18" s="16"/>
      <c r="K18" s="16"/>
      <c r="L18" s="16"/>
      <c r="M18" s="16"/>
      <c r="N18" s="16"/>
      <c r="O18" s="16"/>
      <c r="P18" s="16"/>
    </row>
    <row r="19" spans="1:16" x14ac:dyDescent="0.25">
      <c r="A19" s="232" t="s">
        <v>360</v>
      </c>
      <c r="B19" s="16"/>
      <c r="C19" s="16"/>
      <c r="D19" s="16"/>
      <c r="E19" s="16"/>
      <c r="F19" s="16"/>
      <c r="G19" s="16"/>
      <c r="H19" s="16"/>
      <c r="I19" s="16"/>
      <c r="J19" s="16"/>
      <c r="K19" s="16"/>
      <c r="L19" s="16"/>
      <c r="M19" s="16"/>
      <c r="N19" s="16"/>
      <c r="O19" s="16"/>
      <c r="P19" s="16"/>
    </row>
    <row r="20" spans="1:16" x14ac:dyDescent="0.25">
      <c r="A20" s="232" t="s">
        <v>263</v>
      </c>
    </row>
    <row r="21" spans="1:16" x14ac:dyDescent="0.25">
      <c r="A21" s="230"/>
    </row>
    <row r="22" spans="1:16" x14ac:dyDescent="0.25">
      <c r="A22" s="231" t="s">
        <v>264</v>
      </c>
    </row>
    <row r="23" spans="1:16" x14ac:dyDescent="0.25">
      <c r="A23" s="232" t="s">
        <v>442</v>
      </c>
    </row>
    <row r="24" spans="1:16" x14ac:dyDescent="0.25">
      <c r="A24" s="232" t="s">
        <v>443</v>
      </c>
    </row>
    <row r="25" spans="1:16" x14ac:dyDescent="0.25">
      <c r="A25" s="232" t="s">
        <v>265</v>
      </c>
    </row>
    <row r="26" spans="1:16" x14ac:dyDescent="0.25">
      <c r="A26" s="232" t="s">
        <v>444</v>
      </c>
    </row>
    <row r="27" spans="1:16" x14ac:dyDescent="0.25">
      <c r="A27" s="232" t="s">
        <v>445</v>
      </c>
    </row>
    <row r="28" spans="1:16" x14ac:dyDescent="0.25">
      <c r="A28" s="232" t="s">
        <v>446</v>
      </c>
    </row>
    <row r="29" spans="1:16" x14ac:dyDescent="0.25">
      <c r="A29" s="232" t="s">
        <v>266</v>
      </c>
    </row>
    <row r="30" spans="1:16" x14ac:dyDescent="0.25">
      <c r="A30" s="232" t="s">
        <v>447</v>
      </c>
    </row>
    <row r="31" spans="1:16" x14ac:dyDescent="0.25">
      <c r="A31" s="230"/>
    </row>
    <row r="32" spans="1:16" x14ac:dyDescent="0.25">
      <c r="A32" s="231" t="s">
        <v>267</v>
      </c>
    </row>
    <row r="33" spans="1:7" x14ac:dyDescent="0.25">
      <c r="A33" s="232" t="s">
        <v>448</v>
      </c>
    </row>
    <row r="34" spans="1:7" x14ac:dyDescent="0.25">
      <c r="A34" s="232" t="s">
        <v>449</v>
      </c>
    </row>
    <row r="35" spans="1:7" x14ac:dyDescent="0.25">
      <c r="A35" s="232" t="s">
        <v>268</v>
      </c>
    </row>
    <row r="36" spans="1:7" x14ac:dyDescent="0.25">
      <c r="A36" s="232"/>
    </row>
    <row r="37" spans="1:7" x14ac:dyDescent="0.25">
      <c r="A37" s="232" t="s">
        <v>269</v>
      </c>
    </row>
    <row r="38" spans="1:7" x14ac:dyDescent="0.25">
      <c r="A38" s="302"/>
    </row>
    <row r="39" spans="1:7" x14ac:dyDescent="0.25">
      <c r="A39" s="232" t="s">
        <v>270</v>
      </c>
    </row>
    <row r="40" spans="1:7" x14ac:dyDescent="0.25">
      <c r="A40" s="232" t="s">
        <v>271</v>
      </c>
    </row>
    <row r="41" spans="1:7" x14ac:dyDescent="0.25">
      <c r="A41" s="232" t="s">
        <v>272</v>
      </c>
    </row>
    <row r="42" spans="1:7" x14ac:dyDescent="0.25">
      <c r="A42" s="232" t="s">
        <v>273</v>
      </c>
    </row>
    <row r="43" spans="1:7" x14ac:dyDescent="0.25">
      <c r="A43" s="232" t="s">
        <v>274</v>
      </c>
    </row>
    <row r="44" spans="1:7" x14ac:dyDescent="0.25">
      <c r="A44" s="232"/>
    </row>
    <row r="45" spans="1:7" x14ac:dyDescent="0.25">
      <c r="A45" s="232" t="s">
        <v>450</v>
      </c>
      <c r="G45" s="16"/>
    </row>
    <row r="46" spans="1:7" x14ac:dyDescent="0.25">
      <c r="A46" s="232"/>
    </row>
    <row r="47" spans="1:7" x14ac:dyDescent="0.25">
      <c r="A47" s="232" t="s">
        <v>451</v>
      </c>
    </row>
    <row r="48" spans="1:7" x14ac:dyDescent="0.25">
      <c r="A48" s="230"/>
    </row>
    <row r="49" spans="1:22" x14ac:dyDescent="0.25">
      <c r="A49" s="231" t="s">
        <v>275</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452</v>
      </c>
      <c r="B50" s="16"/>
      <c r="C50" s="16"/>
      <c r="D50" s="16"/>
      <c r="E50" s="16"/>
      <c r="F50" s="16"/>
      <c r="G50" s="16"/>
      <c r="H50" s="16"/>
      <c r="I50" s="16"/>
      <c r="J50" s="16"/>
      <c r="K50" s="16"/>
      <c r="L50" s="16"/>
      <c r="M50" s="16"/>
      <c r="N50" s="16"/>
      <c r="O50" s="16"/>
      <c r="P50" s="16"/>
      <c r="Q50" s="16"/>
      <c r="R50" s="16"/>
      <c r="S50" s="16"/>
    </row>
    <row r="51" spans="1:22" x14ac:dyDescent="0.25">
      <c r="A51" s="232" t="s">
        <v>361</v>
      </c>
      <c r="B51" s="16"/>
      <c r="C51" s="16"/>
      <c r="D51" s="16"/>
      <c r="E51" s="16"/>
      <c r="F51" s="16"/>
      <c r="G51" s="16"/>
      <c r="H51" s="16"/>
      <c r="I51" s="16"/>
      <c r="J51" s="16"/>
      <c r="K51" s="16"/>
      <c r="L51" s="16"/>
      <c r="M51" s="16"/>
      <c r="N51" s="16"/>
      <c r="O51" s="16"/>
      <c r="P51" s="16"/>
      <c r="Q51" s="16"/>
      <c r="R51" s="16"/>
      <c r="S51" s="16"/>
    </row>
    <row r="52" spans="1:22" x14ac:dyDescent="0.25">
      <c r="A52" s="232" t="s">
        <v>276</v>
      </c>
      <c r="B52" s="16"/>
      <c r="C52" s="16"/>
      <c r="D52" s="16"/>
      <c r="E52" s="16"/>
      <c r="F52" s="16"/>
      <c r="G52" s="16"/>
      <c r="H52" s="16"/>
      <c r="I52" s="16"/>
      <c r="J52" s="16"/>
      <c r="K52" s="16"/>
      <c r="L52" s="16"/>
      <c r="M52" s="16"/>
      <c r="N52" s="16"/>
      <c r="O52" s="16"/>
      <c r="P52" s="16"/>
      <c r="Q52" s="16"/>
      <c r="R52" s="16"/>
      <c r="S52" s="16"/>
    </row>
    <row r="53" spans="1:22" x14ac:dyDescent="0.25">
      <c r="A53" s="232" t="s">
        <v>453</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454</v>
      </c>
      <c r="B55" s="16"/>
      <c r="C55" s="16"/>
      <c r="D55" s="16"/>
      <c r="E55" s="16"/>
      <c r="F55" s="16"/>
      <c r="G55" s="16"/>
      <c r="H55" s="16"/>
      <c r="I55" s="16"/>
      <c r="J55" s="16"/>
      <c r="K55" s="16"/>
      <c r="L55" s="16"/>
      <c r="M55" s="16"/>
      <c r="N55" s="16"/>
      <c r="O55" s="16"/>
      <c r="P55" s="16"/>
      <c r="Q55" s="16"/>
      <c r="R55" s="16"/>
      <c r="S55" s="16"/>
    </row>
    <row r="56" spans="1:22" x14ac:dyDescent="0.25">
      <c r="A56" s="280" t="s">
        <v>362</v>
      </c>
    </row>
    <row r="57" spans="1:22" x14ac:dyDescent="0.25">
      <c r="A57" s="230"/>
    </row>
    <row r="58" spans="1:22" x14ac:dyDescent="0.25">
      <c r="A58" s="230" t="s">
        <v>455</v>
      </c>
    </row>
    <row r="59" spans="1:22" x14ac:dyDescent="0.25">
      <c r="A59" s="230"/>
    </row>
    <row r="60" spans="1:22" hidden="1" x14ac:dyDescent="0.25">
      <c r="A60" s="371" t="s">
        <v>456</v>
      </c>
    </row>
    <row r="61" spans="1:22" hidden="1" x14ac:dyDescent="0.25">
      <c r="A61" s="370" t="s">
        <v>457</v>
      </c>
    </row>
    <row r="62" spans="1:22" hidden="1" x14ac:dyDescent="0.25">
      <c r="A62" s="370" t="s">
        <v>458</v>
      </c>
    </row>
    <row r="63" spans="1:22" hidden="1" x14ac:dyDescent="0.25">
      <c r="A63" s="370" t="s">
        <v>459</v>
      </c>
    </row>
    <row r="64" spans="1:22" hidden="1" x14ac:dyDescent="0.25">
      <c r="A64" s="370"/>
    </row>
    <row r="65" spans="1:1" x14ac:dyDescent="0.25">
      <c r="A65" s="231" t="s">
        <v>277</v>
      </c>
    </row>
    <row r="66" spans="1:1" x14ac:dyDescent="0.25">
      <c r="A66" s="229" t="s">
        <v>278</v>
      </c>
    </row>
    <row r="67" spans="1:1" x14ac:dyDescent="0.25">
      <c r="A67" s="230" t="s">
        <v>279</v>
      </c>
    </row>
    <row r="68" spans="1:1" x14ac:dyDescent="0.25">
      <c r="A68" s="232" t="s">
        <v>460</v>
      </c>
    </row>
    <row r="69" spans="1:1" x14ac:dyDescent="0.25">
      <c r="A69" s="229" t="s">
        <v>280</v>
      </c>
    </row>
    <row r="70" spans="1:1" x14ac:dyDescent="0.25">
      <c r="A70" s="232" t="s">
        <v>461</v>
      </c>
    </row>
    <row r="71" spans="1:1" x14ac:dyDescent="0.25">
      <c r="A71" s="230" t="s">
        <v>281</v>
      </c>
    </row>
    <row r="72" spans="1:1" x14ac:dyDescent="0.25">
      <c r="A72" s="229" t="s">
        <v>282</v>
      </c>
    </row>
    <row r="73" spans="1:1" x14ac:dyDescent="0.25">
      <c r="A73" s="232" t="s">
        <v>283</v>
      </c>
    </row>
    <row r="74" spans="1:1" x14ac:dyDescent="0.25">
      <c r="A74" s="230" t="s">
        <v>284</v>
      </c>
    </row>
    <row r="75" spans="1:1" x14ac:dyDescent="0.25">
      <c r="A75" s="229" t="s">
        <v>285</v>
      </c>
    </row>
    <row r="76" spans="1:1" x14ac:dyDescent="0.25">
      <c r="A76" s="232" t="s">
        <v>462</v>
      </c>
    </row>
    <row r="77" spans="1:1" x14ac:dyDescent="0.25">
      <c r="A77" s="229" t="s">
        <v>286</v>
      </c>
    </row>
    <row r="78" spans="1:1" x14ac:dyDescent="0.25">
      <c r="A78" s="232" t="s">
        <v>463</v>
      </c>
    </row>
    <row r="79" spans="1:1" x14ac:dyDescent="0.25">
      <c r="A79" s="232" t="s">
        <v>464</v>
      </c>
    </row>
    <row r="80" spans="1:1" x14ac:dyDescent="0.25">
      <c r="A80" s="229" t="s">
        <v>287</v>
      </c>
    </row>
    <row r="81" spans="1:21" x14ac:dyDescent="0.25">
      <c r="A81" s="232" t="s">
        <v>465</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322</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466</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467</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468</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469</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470</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288</v>
      </c>
    </row>
    <row r="89" spans="1:21" hidden="1" x14ac:dyDescent="0.25">
      <c r="A89" s="370" t="s">
        <v>471</v>
      </c>
    </row>
    <row r="90" spans="1:21" x14ac:dyDescent="0.25">
      <c r="A90" s="232" t="s">
        <v>472</v>
      </c>
    </row>
    <row r="91" spans="1:21" x14ac:dyDescent="0.25">
      <c r="A91" s="230" t="s">
        <v>363</v>
      </c>
    </row>
    <row r="92" spans="1:21" x14ac:dyDescent="0.25">
      <c r="A92" s="229" t="s">
        <v>289</v>
      </c>
    </row>
    <row r="93" spans="1:21" x14ac:dyDescent="0.25">
      <c r="A93" s="232" t="s">
        <v>473</v>
      </c>
    </row>
    <row r="94" spans="1:21" x14ac:dyDescent="0.25">
      <c r="A94" s="230" t="s">
        <v>495</v>
      </c>
    </row>
    <row r="95" spans="1:21" x14ac:dyDescent="0.25">
      <c r="A95" s="230" t="s">
        <v>498</v>
      </c>
    </row>
    <row r="96" spans="1:21" x14ac:dyDescent="0.25">
      <c r="A96" s="230" t="s">
        <v>496</v>
      </c>
    </row>
    <row r="97" spans="1:1" x14ac:dyDescent="0.25">
      <c r="A97" s="230" t="s">
        <v>497</v>
      </c>
    </row>
    <row r="98" spans="1:1" x14ac:dyDescent="0.25">
      <c r="A98" s="229" t="s">
        <v>290</v>
      </c>
    </row>
    <row r="99" spans="1:1" x14ac:dyDescent="0.25">
      <c r="A99" s="230" t="s">
        <v>474</v>
      </c>
    </row>
    <row r="100" spans="1:1" x14ac:dyDescent="0.25">
      <c r="A100" s="229" t="s">
        <v>291</v>
      </c>
    </row>
    <row r="101" spans="1:1" x14ac:dyDescent="0.25">
      <c r="A101" s="232" t="s">
        <v>292</v>
      </c>
    </row>
    <row r="102" spans="1:1" x14ac:dyDescent="0.25">
      <c r="A102" s="232" t="s">
        <v>293</v>
      </c>
    </row>
    <row r="103" spans="1:1" x14ac:dyDescent="0.25">
      <c r="A103" s="232" t="s">
        <v>475</v>
      </c>
    </row>
    <row r="104" spans="1:1" x14ac:dyDescent="0.25">
      <c r="A104" s="232" t="s">
        <v>476</v>
      </c>
    </row>
    <row r="105" spans="1:1" x14ac:dyDescent="0.25">
      <c r="A105" s="232" t="s">
        <v>477</v>
      </c>
    </row>
    <row r="106" spans="1:1" x14ac:dyDescent="0.25">
      <c r="A106" s="232" t="s">
        <v>478</v>
      </c>
    </row>
    <row r="107" spans="1:1" x14ac:dyDescent="0.25">
      <c r="A107" s="232" t="s">
        <v>479</v>
      </c>
    </row>
    <row r="108" spans="1:1" x14ac:dyDescent="0.25">
      <c r="A108" s="232" t="s">
        <v>294</v>
      </c>
    </row>
    <row r="109" spans="1:1" x14ac:dyDescent="0.25">
      <c r="A109" s="229" t="s">
        <v>295</v>
      </c>
    </row>
    <row r="110" spans="1:1" x14ac:dyDescent="0.25">
      <c r="A110" s="230" t="s">
        <v>364</v>
      </c>
    </row>
    <row r="111" spans="1:1" x14ac:dyDescent="0.25">
      <c r="A111" s="229" t="s">
        <v>296</v>
      </c>
    </row>
    <row r="112" spans="1:1" x14ac:dyDescent="0.25">
      <c r="A112" s="232" t="s">
        <v>480</v>
      </c>
    </row>
    <row r="113" spans="1:17" x14ac:dyDescent="0.25">
      <c r="A113" s="229" t="s">
        <v>297</v>
      </c>
      <c r="B113" s="16"/>
      <c r="C113" s="16"/>
      <c r="D113" s="16"/>
      <c r="E113" s="16"/>
      <c r="F113" s="16"/>
      <c r="G113" s="16"/>
      <c r="H113" s="16"/>
      <c r="I113" s="16"/>
      <c r="J113" s="16"/>
      <c r="K113" s="16"/>
      <c r="L113" s="16"/>
      <c r="M113" s="16"/>
      <c r="N113" s="16"/>
      <c r="O113" s="16"/>
      <c r="P113" s="16"/>
      <c r="Q113" s="16"/>
    </row>
    <row r="114" spans="1:17" x14ac:dyDescent="0.25">
      <c r="A114" s="232" t="s">
        <v>481</v>
      </c>
      <c r="B114" s="16"/>
      <c r="C114" s="16"/>
      <c r="D114" s="16"/>
      <c r="E114" s="16"/>
      <c r="F114" s="16"/>
      <c r="G114" s="16"/>
      <c r="H114" s="16"/>
      <c r="I114" s="16"/>
      <c r="J114" s="16"/>
      <c r="K114" s="16"/>
      <c r="L114" s="16"/>
      <c r="M114" s="16"/>
      <c r="N114" s="16"/>
      <c r="O114" s="16"/>
      <c r="P114" s="16"/>
      <c r="Q114" s="16"/>
    </row>
    <row r="115" spans="1:17" x14ac:dyDescent="0.25">
      <c r="A115" s="229" t="s">
        <v>298</v>
      </c>
      <c r="B115" s="16"/>
      <c r="C115" s="16"/>
      <c r="D115" s="16"/>
      <c r="E115" s="16"/>
      <c r="F115" s="16"/>
      <c r="G115" s="16"/>
      <c r="H115" s="16"/>
      <c r="I115" s="16"/>
      <c r="J115" s="16"/>
      <c r="K115" s="16"/>
      <c r="L115" s="16"/>
      <c r="M115" s="16"/>
      <c r="N115" s="16"/>
      <c r="O115" s="16"/>
      <c r="P115" s="16"/>
      <c r="Q115" s="16"/>
    </row>
    <row r="116" spans="1:17" x14ac:dyDescent="0.25">
      <c r="A116" s="232" t="s">
        <v>482</v>
      </c>
    </row>
    <row r="117" spans="1:17" x14ac:dyDescent="0.25">
      <c r="A117" s="229" t="s">
        <v>483</v>
      </c>
    </row>
    <row r="118" spans="1:17" hidden="1" x14ac:dyDescent="0.25">
      <c r="A118" s="375" t="s">
        <v>493</v>
      </c>
    </row>
    <row r="119" spans="1:17" x14ac:dyDescent="0.25">
      <c r="A119" s="232" t="s">
        <v>484</v>
      </c>
    </row>
    <row r="120" spans="1:17" hidden="1" x14ac:dyDescent="0.25">
      <c r="A120" s="370" t="s">
        <v>485</v>
      </c>
    </row>
    <row r="121" spans="1:17" x14ac:dyDescent="0.25">
      <c r="A121" s="229" t="s">
        <v>299</v>
      </c>
    </row>
    <row r="122" spans="1:17" x14ac:dyDescent="0.25">
      <c r="A122" s="232" t="s">
        <v>300</v>
      </c>
    </row>
    <row r="123" spans="1:17" x14ac:dyDescent="0.25">
      <c r="A123" s="232" t="s">
        <v>486</v>
      </c>
    </row>
    <row r="124" spans="1:17" x14ac:dyDescent="0.25">
      <c r="A124" s="232" t="s">
        <v>301</v>
      </c>
    </row>
    <row r="125" spans="1:17" x14ac:dyDescent="0.25">
      <c r="A125" s="229" t="s">
        <v>302</v>
      </c>
    </row>
    <row r="126" spans="1:17" x14ac:dyDescent="0.25">
      <c r="A126" s="232" t="s">
        <v>487</v>
      </c>
    </row>
    <row r="127" spans="1:17" x14ac:dyDescent="0.25">
      <c r="A127" s="302" t="s">
        <v>303</v>
      </c>
    </row>
    <row r="128" spans="1:17" x14ac:dyDescent="0.25">
      <c r="A128" s="232" t="s">
        <v>488</v>
      </c>
    </row>
    <row r="129" spans="1:1" x14ac:dyDescent="0.25">
      <c r="A129" s="232" t="s">
        <v>304</v>
      </c>
    </row>
    <row r="130" spans="1:1" x14ac:dyDescent="0.25">
      <c r="A130" s="232" t="s">
        <v>305</v>
      </c>
    </row>
    <row r="131" spans="1:1" x14ac:dyDescent="0.25">
      <c r="A131" s="301" t="s">
        <v>489</v>
      </c>
    </row>
    <row r="132" spans="1:1" x14ac:dyDescent="0.25">
      <c r="A132" s="301" t="s">
        <v>413</v>
      </c>
    </row>
    <row r="133" spans="1:1" hidden="1" x14ac:dyDescent="0.25">
      <c r="A133" s="376" t="s">
        <v>490</v>
      </c>
    </row>
    <row r="134" spans="1:1" x14ac:dyDescent="0.25">
      <c r="A134" s="302" t="s">
        <v>306</v>
      </c>
    </row>
    <row r="135" spans="1:1" x14ac:dyDescent="0.25">
      <c r="A135" s="232" t="s">
        <v>491</v>
      </c>
    </row>
    <row r="137" spans="1:1" x14ac:dyDescent="0.25">
      <c r="A137" s="374" t="s">
        <v>424</v>
      </c>
    </row>
    <row r="138" spans="1:1" x14ac:dyDescent="0.25">
      <c r="A138" s="232" t="s">
        <v>425</v>
      </c>
    </row>
    <row r="139" spans="1:1" x14ac:dyDescent="0.25">
      <c r="A139" s="232" t="s">
        <v>426</v>
      </c>
    </row>
    <row r="140" spans="1:1" x14ac:dyDescent="0.25">
      <c r="A140" s="232"/>
    </row>
    <row r="141" spans="1:1" x14ac:dyDescent="0.25">
      <c r="A141" s="232" t="s">
        <v>427</v>
      </c>
    </row>
    <row r="142" spans="1:1" x14ac:dyDescent="0.25">
      <c r="A142" s="232" t="s">
        <v>428</v>
      </c>
    </row>
    <row r="143" spans="1:1" x14ac:dyDescent="0.25">
      <c r="A143" s="232" t="s">
        <v>429</v>
      </c>
    </row>
    <row r="144" spans="1:1" x14ac:dyDescent="0.25">
      <c r="A144" s="232"/>
    </row>
    <row r="145" spans="1:1" x14ac:dyDescent="0.25">
      <c r="A145" s="232" t="s">
        <v>430</v>
      </c>
    </row>
    <row r="146" spans="1:1" x14ac:dyDescent="0.25">
      <c r="A146" s="232" t="s">
        <v>431</v>
      </c>
    </row>
    <row r="147" spans="1:1" x14ac:dyDescent="0.25">
      <c r="A147" s="232" t="s">
        <v>432</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3" orientation="landscape" r:id="rId1"/>
  <headerFooter>
    <oddFooter>&amp;C&amp;A&amp;R&amp;P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86</vt:i4>
      </vt:variant>
    </vt:vector>
  </HeadingPairs>
  <TitlesOfParts>
    <vt:vector size="110"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'6. Begrotingsoverzicht'!Afdrukbereik</vt:lpstr>
      <vt:lpstr>'7. Rekenhulp loonkosten bet.vz.'!Afdrukbereik</vt:lpstr>
      <vt:lpstr>'8. Uitgaven betaalverzoek'!Afdrukbereik</vt:lpstr>
      <vt:lpstr>'9. Betalingsoverzicht'!Afdrukbereik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Format-begroting en betaalverzoeken-EIP-Provincies-2025</dc:title>
  <dc:creator>Rijksdienst voor Ondernemend Nederland</dc:creator>
  <cp:lastModifiedBy>Rijksdienst voor Ondernemend Nederland</cp:lastModifiedBy>
  <cp:lastPrinted>2025-05-26T15:38:16Z</cp:lastPrinted>
  <dcterms:created xsi:type="dcterms:W3CDTF">2015-06-05T18:19:34Z</dcterms:created>
  <dcterms:modified xsi:type="dcterms:W3CDTF">2025-05-26T15:40:36Z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